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371" windowWidth="15480" windowHeight="6270" tabRatio="768" activeTab="2"/>
  </bookViews>
  <sheets>
    <sheet name="Legend" sheetId="1" r:id="rId1"/>
    <sheet name="Bioenergy" sheetId="2" r:id="rId2"/>
    <sheet name="Coal" sheetId="3" r:id="rId3"/>
    <sheet name="Geothermal" sheetId="4" r:id="rId4"/>
    <sheet name="Hydro" sheetId="5" r:id="rId5"/>
    <sheet name="Natural Gas" sheetId="6" r:id="rId6"/>
    <sheet name="Nuclear" sheetId="7" r:id="rId7"/>
    <sheet name="Oil" sheetId="8" r:id="rId8"/>
    <sheet name="Solar" sheetId="9" r:id="rId9"/>
    <sheet name="Wind" sheetId="10" r:id="rId10"/>
    <sheet name="ConversionFactors" sheetId="11" r:id="rId11"/>
  </sheets>
  <definedNames>
    <definedName name="_xlnm.Print_Area" localSheetId="2">'Coal'!$A$1:$L$29</definedName>
    <definedName name="_xlnm.Print_Area" localSheetId="6">'Nuclear'!$A$1:$H$15</definedName>
    <definedName name="_xlnm.Print_Area" localSheetId="9">'Wind'!$B$1:$H$14</definedName>
  </definedNames>
  <calcPr fullCalcOnLoad="1"/>
</workbook>
</file>

<file path=xl/comments11.xml><?xml version="1.0" encoding="utf-8"?>
<comments xmlns="http://schemas.openxmlformats.org/spreadsheetml/2006/main">
  <authors>
    <author>stellinghuisen</author>
  </authors>
  <commentList>
    <comment ref="L13" authorId="0">
      <text>
        <r>
          <rPr>
            <b/>
            <sz val="8"/>
            <rFont val="Tahoma"/>
            <family val="0"/>
          </rPr>
          <t xml:space="preserve">stellinghuisen
</t>
        </r>
        <r>
          <rPr>
            <sz val="8"/>
            <rFont val="Tahoma"/>
            <family val="2"/>
          </rPr>
          <t>reference: http://www.eia.doe.gov/kids/energyfacts/science/energy_calculator.html#oilcalc</t>
        </r>
      </text>
    </comment>
    <comment ref="L14" authorId="0">
      <text>
        <r>
          <rPr>
            <b/>
            <sz val="8"/>
            <rFont val="Tahoma"/>
            <family val="0"/>
          </rPr>
          <t>stellinghuisen:</t>
        </r>
        <r>
          <rPr>
            <sz val="8"/>
            <rFont val="Tahoma"/>
            <family val="0"/>
          </rPr>
          <t xml:space="preserve">
reference: http://www.eia.doe.gov/kids/energyfacts/science/energy_calculator.html#oilcalc</t>
        </r>
      </text>
    </comment>
  </commentList>
</comments>
</file>

<file path=xl/comments6.xml><?xml version="1.0" encoding="utf-8"?>
<comments xmlns="http://schemas.openxmlformats.org/spreadsheetml/2006/main">
  <authors>
    <author>%USERNAME%</author>
  </authors>
  <commentList>
    <comment ref="A7" authorId="0">
      <text>
        <r>
          <rPr>
            <b/>
            <sz val="8"/>
            <rFont val="Tahoma"/>
            <family val="0"/>
          </rPr>
          <t>%USERNAME%:</t>
        </r>
        <r>
          <rPr>
            <sz val="8"/>
            <rFont val="Tahoma"/>
            <family val="0"/>
          </rPr>
          <t xml:space="preserve">
Maultbesch (2006), assumes 500 MW plant</t>
        </r>
      </text>
    </comment>
  </commentList>
</comments>
</file>

<file path=xl/sharedStrings.xml><?xml version="1.0" encoding="utf-8"?>
<sst xmlns="http://schemas.openxmlformats.org/spreadsheetml/2006/main" count="719" uniqueCount="446">
  <si>
    <t>Low</t>
  </si>
  <si>
    <t>High</t>
  </si>
  <si>
    <t>Item</t>
  </si>
  <si>
    <t>Log Slurry Line</t>
  </si>
  <si>
    <t xml:space="preserve">High </t>
  </si>
  <si>
    <t>Water Requirements for Coal Power Production</t>
  </si>
  <si>
    <t>Conversion of Units</t>
  </si>
  <si>
    <t>Instructions: insert the value you have in the left box, and the coversion will be done automatically to right box</t>
  </si>
  <si>
    <t>Volume/energy unit</t>
  </si>
  <si>
    <t>Quick reference/conversion</t>
  </si>
  <si>
    <t>gal/kWh</t>
  </si>
  <si>
    <t>=</t>
  </si>
  <si>
    <t>m^3/kWh</t>
  </si>
  <si>
    <t>MW</t>
  </si>
  <si>
    <t>kW</t>
  </si>
  <si>
    <t>Energy</t>
  </si>
  <si>
    <t>gal/MWh</t>
  </si>
  <si>
    <t>kWh</t>
  </si>
  <si>
    <t>Joules</t>
  </si>
  <si>
    <t>J</t>
  </si>
  <si>
    <t>liters/kWh</t>
  </si>
  <si>
    <t>GJ</t>
  </si>
  <si>
    <t>ft^3/MWs</t>
  </si>
  <si>
    <t>1 barrel crude oil</t>
  </si>
  <si>
    <t>Btu</t>
  </si>
  <si>
    <t>gal/MWd</t>
  </si>
  <si>
    <t>Volume</t>
  </si>
  <si>
    <t>Mg/GJ</t>
  </si>
  <si>
    <t>m^3</t>
  </si>
  <si>
    <t>liters</t>
  </si>
  <si>
    <t>gallons (U.S.)</t>
  </si>
  <si>
    <t>ac-ft/kWh</t>
  </si>
  <si>
    <t>ft^3</t>
  </si>
  <si>
    <t>acre-foot</t>
  </si>
  <si>
    <t>m^3/J</t>
  </si>
  <si>
    <t>km^3</t>
  </si>
  <si>
    <t>Mg (Million grams)</t>
  </si>
  <si>
    <t>acre-ft/MWe</t>
  </si>
  <si>
    <t>m^3/kW</t>
  </si>
  <si>
    <t>km^3/10^18 J</t>
  </si>
  <si>
    <t>m^3/10^12 J</t>
  </si>
  <si>
    <t>Coal Power Production Method</t>
  </si>
  <si>
    <t>Withdrawal Water Requirement (m3/MWh)</t>
  </si>
  <si>
    <t>Consumptive Water Requirement (m3/MWh)</t>
  </si>
  <si>
    <t>Saves up to 70% water of traditional slurry.</t>
  </si>
  <si>
    <t>*</t>
  </si>
  <si>
    <t>Surface Mining</t>
  </si>
  <si>
    <t>Underground Mining</t>
  </si>
  <si>
    <t>m^3/MWh</t>
  </si>
  <si>
    <t>Processing</t>
  </si>
  <si>
    <t>once-thru cooling</t>
  </si>
  <si>
    <t>natural draft wet cooling tower</t>
  </si>
  <si>
    <t>closed cycle cooling pond, lake, or reservoir</t>
  </si>
  <si>
    <t>Notes/Assumptions</t>
  </si>
  <si>
    <t>Water Requirements for Nuclear Power Production</t>
  </si>
  <si>
    <t>All Numbers in m3/MWh</t>
  </si>
  <si>
    <t>Withdrawal</t>
  </si>
  <si>
    <t>Consumption</t>
  </si>
  <si>
    <t xml:space="preserve">COAL  </t>
  </si>
  <si>
    <t>Water Requirements for Solar Power Production</t>
  </si>
  <si>
    <t>NUCLEAR</t>
  </si>
  <si>
    <t>SOLAR</t>
  </si>
  <si>
    <t>PV - Concentrating PV Systems</t>
  </si>
  <si>
    <t>PV - Large Centralized Plant</t>
  </si>
  <si>
    <t>PV - Distributed (Rooftop) Systems</t>
  </si>
  <si>
    <t>CSP - Power Tower Plant</t>
  </si>
  <si>
    <t>Water Requirements for Hydroelectric Power Production</t>
  </si>
  <si>
    <t>Hydroelectric</t>
  </si>
  <si>
    <t>Evaporative Losses, &lt;25 MW plant</t>
  </si>
  <si>
    <t>Evaporative Losses, &gt;25 MW plant</t>
  </si>
  <si>
    <t>Hydroelectric Power Production Method</t>
  </si>
  <si>
    <t>"Run of River" Facility</t>
  </si>
  <si>
    <t>Assumes that "run of river" facilities do not impound water, increasing rates of evaporation</t>
  </si>
  <si>
    <t>Reservoir and Dam, &lt; 25 MW capacity - Dam Height &lt; Gross Static Head</t>
  </si>
  <si>
    <t>Reservoir and Dam, &lt; 25 MW capacity - Dam Height &gt; Gross Static Head</t>
  </si>
  <si>
    <t>Reservoir and Dam, &gt; 25 MW capacity - Dam Height &lt; Gross Static Head</t>
  </si>
  <si>
    <t>Reservoir and Dam, &gt; 25 MW capacity - Dam Height &gt; Gross Static Head</t>
  </si>
  <si>
    <t>Facilities in aqueducts</t>
  </si>
  <si>
    <t>Assumes that these facilities do not increase rates of evaporation above existing rates.</t>
  </si>
  <si>
    <t>Water Requirements for Bioenergy Power Production</t>
  </si>
  <si>
    <t>BIOENERGY</t>
  </si>
  <si>
    <t>Agriculture, Rapeseed</t>
  </si>
  <si>
    <t>Agriculture, Sugarcane</t>
  </si>
  <si>
    <t>Agriculture, Sugar Beet</t>
  </si>
  <si>
    <t>Agriculture, Corn</t>
  </si>
  <si>
    <t>Agriculture, Wheat</t>
  </si>
  <si>
    <t>Nuclear Power Production Method</t>
  </si>
  <si>
    <t>Bioenergy Power Production Method</t>
  </si>
  <si>
    <t>Sources</t>
  </si>
  <si>
    <t>BWR</t>
  </si>
  <si>
    <t>PWR</t>
  </si>
  <si>
    <t>for BWR assuming once-through cooling</t>
  </si>
  <si>
    <t>Cleaning medium sized wind farms</t>
  </si>
  <si>
    <t>Cleaning large sized wind farms</t>
  </si>
  <si>
    <t>Water Requirements for Wind Power Production</t>
  </si>
  <si>
    <t>WIND</t>
  </si>
  <si>
    <t>Wind Power Production Method</t>
  </si>
  <si>
    <t>Medium sized wind farm</t>
  </si>
  <si>
    <t>Large sized wind farm</t>
  </si>
  <si>
    <t>If the wind turbines are never cleaned, then the withdrawal and consumption equals zero</t>
  </si>
  <si>
    <t>If the wind turbines are never cleaned, then the withdrawal and consumption equals zero
Wind farms can operate at 30% of nameplate capacity
If washed, turbines are washed 3 times/year
Each turbine uses 40 gallons per washing</t>
  </si>
  <si>
    <t>only for surface mining</t>
  </si>
  <si>
    <t xml:space="preserve">Dedicated energy crops - rapeseed - gasification - </t>
  </si>
  <si>
    <t xml:space="preserve">Dedicated energy crops - sugarcane - gasification - </t>
  </si>
  <si>
    <t xml:space="preserve">Dedicated energy crops - Sugar beet - gasification - </t>
  </si>
  <si>
    <t xml:space="preserve">Dedicated energy crops - Corn - gasification - </t>
  </si>
  <si>
    <t xml:space="preserve">Dedicated energy crops - Wheat - gasification - </t>
  </si>
  <si>
    <t xml:space="preserve">Dedicated energy crops - rapeseed - Biomass-based steam plant - </t>
  </si>
  <si>
    <t xml:space="preserve">Dedicated energy crops - sugarcane - Biomass-based steam plant - </t>
  </si>
  <si>
    <t xml:space="preserve">Dedicated energy crops - Sugar beet - Biomass-based steam plant - </t>
  </si>
  <si>
    <t xml:space="preserve">Dedicated energy crops - Corn - Biomass-based steam plant - </t>
  </si>
  <si>
    <t xml:space="preserve">Dedicated energy crops - Wheat - Biomass-based steam plant - </t>
  </si>
  <si>
    <t xml:space="preserve">Dedicated energy crops - rapeseed - Improved biomass-based steam plant - </t>
  </si>
  <si>
    <t xml:space="preserve">Dedicated energy crops - sugarcane -  Improved biomass-based steam plant - </t>
  </si>
  <si>
    <t xml:space="preserve">Dedicated energy crops - Sugar beet -  Improved biomass-based steam plant - </t>
  </si>
  <si>
    <t xml:space="preserve">Dedicated energy crops - Corn -  Improved biomass-based steam plant - </t>
  </si>
  <si>
    <t xml:space="preserve">Dedicated energy crops - Wheat -  Improved biomass-based steam plant - </t>
  </si>
  <si>
    <t>Biomass-based steam plant</t>
  </si>
  <si>
    <t>Improved biomass-based steam plant</t>
  </si>
  <si>
    <t>Assumes a 34% specified efficiency and a HHV of 20 GJ/Mg</t>
  </si>
  <si>
    <t>Quench feed water for wet scrubbing of syngas (exiting gasifier)</t>
  </si>
  <si>
    <t>Surface Mining - Coal Washing - Pulverized Slurry - Gasification - Once-Through Cooling</t>
  </si>
  <si>
    <t>Surface Mining - Coal Washing - Pulverized Slurry - Gasification - Recirculating Cooling - Hybrid Wet-Dry Cooling</t>
  </si>
  <si>
    <t>Surface Mining - Coal Washing - Pulverized Slurry - Gasification - Recirculating Cooling - Wet Cooling</t>
  </si>
  <si>
    <t>Surface Mining - Coal Washing - Pulverized Slurry - Conventional Pulverized Combustion - Once-Through Cooling</t>
  </si>
  <si>
    <t>Surface Mining - Coal Washing - Pulverized Slurry - Conventional Pulverized Combustion - Recirculating Cooling - Hybrid Wet-Dry Cooling</t>
  </si>
  <si>
    <t>Surface Mining - Coal Washing - Pulverized Slurry - Conventional Pulverized Combustion - Recirculating Cooling - Wet Cooling</t>
  </si>
  <si>
    <t>Surface Mining - No Washing - Pulverized Slurry - Gasification - Once-Through Cooling</t>
  </si>
  <si>
    <t>Surface Mining - No Washing - Pulverized Slurry - Gasification - Recirculating Cooling - Hybrid Wet-Dry Cooling</t>
  </si>
  <si>
    <t>Surface Mining - No Washing - Pulverized Slurry - Gasification - Recirculating Cooling - Wet Cooling</t>
  </si>
  <si>
    <t>Surface Mining - No Washing - Pulverized Slurry - Conventional Pulverized Combustion - Once-Through Cooling</t>
  </si>
  <si>
    <t>Surface Mining - No Washing - Pulverized Slurry - Conventional Pulverized Combustion - Recirculating Cooling - Hybrid Wet-Dry Cooling</t>
  </si>
  <si>
    <t>Surface Mining - No Washing - Pulverized Slurry - Conventional Pulverized Combustion - Recirculating Cooling - Wet Cooling</t>
  </si>
  <si>
    <t>Underground Mining - Coal Washing - Pulverized Slurry - Gasification - Once-Through Cooling</t>
  </si>
  <si>
    <t>Underground Mining - Coal Washing - Pulverized Slurry - Gasification - Recirculating Cooling - Hybrid Wet-Dry Cooling</t>
  </si>
  <si>
    <t>Underground Mining - Coal Washing - Pulverized Slurry - Gasification - Recirculating Cooling - Wet Cooling</t>
  </si>
  <si>
    <t>Underground Mining - Coal Washing - Pulverized Slurry - Conventional Pulverized Combustion - Once-Through Cooling</t>
  </si>
  <si>
    <t>Underground Mining - Coal Washing - Pulverized Slurry - Conventional Pulverized Combustion - Recirculating Cooling - Dry Cooling - Indirect</t>
  </si>
  <si>
    <t>Underground Mining - Coal Washing - Pulverized Slurry - Conventional Pulverized Combustion - Recirculating Cooling - Hybrid Wet-Dry Cooling</t>
  </si>
  <si>
    <t>Underground Mining - Coal Washing - Pulverized Slurry - Conventional Pulverized Combustion - Recirculating Cooling - Wet Cooling</t>
  </si>
  <si>
    <t>Underground Mining - No Washing - Pulverized Slurry - Gasification - Once-Through Cooling</t>
  </si>
  <si>
    <t>Underground Mining - No Washing - Pulverized Slurry - Gasification - Recirculating Cooling - Hybrid Wet-Dry Cooling</t>
  </si>
  <si>
    <t>Underground Mining - No Washing - Pulverized Slurry - Gasification - Recirculating Cooling - Wet Cooling</t>
  </si>
  <si>
    <t>Underground Mining - No Washing - Pulverized Slurry - Conventional Pulverized Combustion - Once-Through Cooling</t>
  </si>
  <si>
    <t>Underground Mining - No Washing - Pulverized Slurry - Conventional Pulverized Combustion - Recirculating Cooling - Dry Cooling - Indirect</t>
  </si>
  <si>
    <t>Underground Mining - No Washing - Pulverized Slurry - Conventional Pulverized Combustion - Recirculating Cooling - Hybrid Wet-Dry Cooling</t>
  </si>
  <si>
    <t>Underground Mining - No Washing - Pulverized Slurry - Conventional Pulverized Combustion - Recirculating Cooling - Wet Cooling</t>
  </si>
  <si>
    <t>Surface Mining - Coal Washing - Pulverized Slurry</t>
  </si>
  <si>
    <t>Surface Mining - No Washing - Pulverized Slurry</t>
  </si>
  <si>
    <t>Underground Mining - Coal Washing - Pulverized Slurry</t>
  </si>
  <si>
    <t>Underground Mining - No Washing - Pulverized Slurry</t>
  </si>
  <si>
    <t>Gasification - Once-Through Cooling</t>
  </si>
  <si>
    <t>Gasification - Cooling Pond</t>
  </si>
  <si>
    <t>Gasification - Direct Dry Cooling</t>
  </si>
  <si>
    <t>Gasification - Wet Cooling</t>
  </si>
  <si>
    <t>Gasification - Hybrid Wet-Dry Cooling</t>
  </si>
  <si>
    <t>Gasification - Indirect Dry Cooling</t>
  </si>
  <si>
    <t>Water Requirements Pre-Plant</t>
  </si>
  <si>
    <t>Water Requirements Plant</t>
  </si>
  <si>
    <t>Total Water Requirements</t>
  </si>
  <si>
    <t>Pulverized Slurry Line</t>
  </si>
  <si>
    <t>Conventional Pulverized Combustion - Once-Through Cooling</t>
  </si>
  <si>
    <t>Conventional Pulverized Combustion - Direct Dry Cooling</t>
  </si>
  <si>
    <t>Conventional Pulverized Combustion - Indirect Dry Cooling</t>
  </si>
  <si>
    <t>Conventional Pulverized Combustion - Hybrid Wet-Dry Cooling</t>
  </si>
  <si>
    <t>Conventional Pulverized Combustion - Wet Cooling</t>
  </si>
  <si>
    <t>Conventional Pulverized Combustion - Pond Cooling</t>
  </si>
  <si>
    <t>Surface Mining - Coal Washing - Pulverized Slurry - Gasification - Recirculating Cooling - Pond Cooling</t>
  </si>
  <si>
    <t>Surface Mining - Coal Washing - Pulverized Slurry - Conventional Pulverized Combustion - Recirculating Cooling - Pond Cooling</t>
  </si>
  <si>
    <t>Surface Mining - Coal Washing - Pulverized Slurry - Conventional Pulverized Combustion - Recirculating Cooling - Direct Dry Cooling</t>
  </si>
  <si>
    <t>Surface Mining - Coal Washing - Pulverized Slurry - Conventional Pulverized Combustion - Recirculating Cooling - Indirect Dry Cooling</t>
  </si>
  <si>
    <t>Surface Mining - Coal Washing - Pulverized Slurry - Gasification - Recirculating Cooling - Direct Dry Cooling</t>
  </si>
  <si>
    <t>Surface Mining - Coal Washing - Pulverized Slurry - Gasification - Recirculating Cooling - Indirect Dry Cooling</t>
  </si>
  <si>
    <t>Surface Mining - No Washing - Pulverized Slurry - Conventional Pulverized Combustion - Recirculating Cooling - Indirect Dry Cooling</t>
  </si>
  <si>
    <t>Surface Mining - No Washing - Pulverized Slurry - Conventional Pulverized Combustion - Recirculating Cooling - Pond Cooling</t>
  </si>
  <si>
    <t>Surface Mining - No Washing - Pulverized Slurry - Gasification - Recirculating Cooling - Direct Dry Cooling</t>
  </si>
  <si>
    <t>Surface Mining - No Washing - Pulverized Slurry - Gasification - Recirculating Cooling - Indirect Dry Cooling</t>
  </si>
  <si>
    <t>Surface Mining - No Washing - Pulverized Slurry - Gasification - Recirculating Cooling - Pond Cooling</t>
  </si>
  <si>
    <t>Underground Mining - Coal Washing - Pulverized Slurry - Conventional Pulverized Combustion - Recirculating Cooling - Indirect Dry Cooling</t>
  </si>
  <si>
    <t>Underground Mining - Coal Washing - Pulverized Slurry - Conventional Pulverized Combustion - Recirculating Cooling - Pond Cooling</t>
  </si>
  <si>
    <t>Underground Mining - Coal Washing - Pulverized Slurry - Gasification - Recirculating Cooling - Direct Dry Cooling</t>
  </si>
  <si>
    <t>Underground Mining - Coal Washing - Pulverized Slurry - Gasification - Recirculating Cooling - Indirect Dry Cooling</t>
  </si>
  <si>
    <t>Underground Mining - Coal Washing - Pulverized Slurry - Gasification - Recirculating Cooling - Pond Cooling</t>
  </si>
  <si>
    <t>Underground Mining - No Washing - Pulverized Slurry - Conventional Pulverized Combustion - Recirculating Cooling - Indirect Dry Cooling</t>
  </si>
  <si>
    <t>Underground Mining - No Washing - Pulverized Slurry - Conventional Pulverized Combustion - Recirculating Cooling - Pond Cooling</t>
  </si>
  <si>
    <t>Underground Mining - No Washing - Pulverized Slurry - Gasification - Recirculating Cooling - Direct Dry Cooling</t>
  </si>
  <si>
    <t>Underground Mining - No Washing - Pulverized Slurry - Gasification - Recirculating Cooling - Indirect Dry Cooling</t>
  </si>
  <si>
    <t>Underground Mining - No Washing - Pulverized Slurry - Gasification - Recirculating Cooling - Pond Cooling</t>
  </si>
  <si>
    <t xml:space="preserve">CSP - Parabolic Trough System </t>
  </si>
  <si>
    <t>CSP - Parabolic Dish-Engine System</t>
  </si>
  <si>
    <t>Coal Washing</t>
  </si>
  <si>
    <t>80% of eastern and interior coal is washed</t>
  </si>
  <si>
    <t>600MW pulverized coal plant.</t>
  </si>
  <si>
    <t>500 MW plant</t>
  </si>
  <si>
    <t>only for underground mining</t>
  </si>
  <si>
    <t>Underground Uranium Mining</t>
  </si>
  <si>
    <t>Surface Uranium Mining</t>
  </si>
  <si>
    <t>processing includes: milling, conversion, enrichment, fuel fabrication, fuel reprocessing</t>
  </si>
  <si>
    <t>BWR - Surface Mining - Once-through</t>
  </si>
  <si>
    <t>BWR - Underground Mining - Once-through</t>
  </si>
  <si>
    <t>BWR - Underground Mining - Closed-cycle - Natural Draft Wet Cooling Tower</t>
  </si>
  <si>
    <t>BWR - Surface Mining - Closed-cycle - Natural Draft Wet Cooling Tower</t>
  </si>
  <si>
    <t>BWR - Surface Mining - Closed-cycle - Cooling pond, lake, or reservoir</t>
  </si>
  <si>
    <t>BWR - Underground Mining - Closed-cycle - Cooling pond, lake, or reservoir</t>
  </si>
  <si>
    <t>PWR - Surface Mining - Once-through</t>
  </si>
  <si>
    <t>PWR - Underground Mining - Once-through</t>
  </si>
  <si>
    <t>PWR - Underground Mining - Closed Cycle - Natural Draft Wet Cooling Tower</t>
  </si>
  <si>
    <t>PWR - Surface Mining - Closed Cycle - Natural Draft Wet Cooling Tower</t>
  </si>
  <si>
    <t>PWR - Surface Mining - Closed Cycle - Cooling pond, lake, or reservoir</t>
  </si>
  <si>
    <t>PWR - Underground Mining - Closed Cycle - Cooling pond, lake, or reservoir</t>
  </si>
  <si>
    <t>Water Requirements for Oil Power Production</t>
  </si>
  <si>
    <t>OIL</t>
  </si>
  <si>
    <t>Combined cycle, once-thru cooling</t>
  </si>
  <si>
    <t>Combined cycle, wet cooling</t>
  </si>
  <si>
    <t>Combined cycle, dry cooling</t>
  </si>
  <si>
    <t>Steam turbine, once-thru cooling</t>
  </si>
  <si>
    <t>Steam turbine, wet cooling</t>
  </si>
  <si>
    <t>Steam turbine, pond cooling</t>
  </si>
  <si>
    <t>Drilling</t>
  </si>
  <si>
    <t>Refining</t>
  </si>
  <si>
    <t>Other (hotel load)</t>
  </si>
  <si>
    <t>Oil Power Production Method</t>
  </si>
  <si>
    <t>Water Requirements for Natural Gas Power Production</t>
  </si>
  <si>
    <t>NATURAL GAS</t>
  </si>
  <si>
    <t>Natural Gas Power Production Method</t>
  </si>
  <si>
    <t>Simple cycle, no inlet fogging</t>
  </si>
  <si>
    <t>Simple cycle, inlet fogging</t>
  </si>
  <si>
    <t>Combined cycle, wet cooling, inlet fogging</t>
  </si>
  <si>
    <t>Combined cycle, wet cooling, no inlet fogging</t>
  </si>
  <si>
    <t>Combined cycle, dry cooling, inlet fogging</t>
  </si>
  <si>
    <t>Combined cycle, dry cooling, no inlet fogging</t>
  </si>
  <si>
    <t>Water Requirements for Geothermal Power Production</t>
  </si>
  <si>
    <t>GEOTHERMAL</t>
  </si>
  <si>
    <t>Geothermal Power Production Method</t>
  </si>
  <si>
    <t>PV - Large Centralized Plants</t>
  </si>
  <si>
    <t xml:space="preserve">Withdrawn is equivilant to consumed when withdrawn numbers are not available. </t>
  </si>
  <si>
    <t>All calculations assume one barrel of crude oil (42 gallons) has an energy capacity of 1700 kWh. Assumes a 50,000 bbl/day facility. The cited reference describes all water used as "consumed water" and does not distinguish from "withdrawn water". The quality of the water may, indeed, mean that it is effectively consumed; however, there may be some opportunity for reclaiming water. We do not tackle that question. "Other" uses include water for disposal and revegetation, dust control during extraction, plant utilities, and on-site power needs.</t>
  </si>
  <si>
    <t>Oil Shale Mining - Direct Aboveground Retorting (AGR)</t>
  </si>
  <si>
    <t>Oil Shale Mining - Indirect AGR</t>
  </si>
  <si>
    <t>Oil Shale Mining - Modified In-situ (MIS)/AGR</t>
  </si>
  <si>
    <t xml:space="preserve">Oil Shale Mining - Modified In-situ (MIS) </t>
  </si>
  <si>
    <t>Oil Shale Processing - Direct Aboveground Retorting (AGR)</t>
  </si>
  <si>
    <t>Oil Shale Processing - Indirect AGR</t>
  </si>
  <si>
    <t>Oil Shale Processing - Modified In-situ (MIS)/AGR</t>
  </si>
  <si>
    <t xml:space="preserve">Oil Shale Processing - Modified In-situ (MIS) </t>
  </si>
  <si>
    <t>Oil Shale (Other) - Direct Aboveground Retorting (AGR)</t>
  </si>
  <si>
    <t>Oil Shale (Other) - Indirect AGR</t>
  </si>
  <si>
    <t>Oil Shale (Other) - Modified In-situ (MIS)/AGR</t>
  </si>
  <si>
    <t xml:space="preserve">Oil Shale (Other) - Modified In-situ (MIS) </t>
  </si>
  <si>
    <t xml:space="preserve">Agricultural/Forestry Waste - gasification - </t>
  </si>
  <si>
    <t>Oil Shale - Direct Aboveground Retorting - Combined cycle, once-thru cooling</t>
  </si>
  <si>
    <t>Oil Shale - Indirect Aboveground Retorting - Combined cycle, wet cooling</t>
  </si>
  <si>
    <t>Oil Shale - Direct Aboveground Retorting - Combined cycle, wet cooling</t>
  </si>
  <si>
    <t>Oil Shale - Direct Aboveground Retorting - Combined cycle - Dry cooling</t>
  </si>
  <si>
    <t>Oil Shale - Direct Aboveground Retorting - Steam turbine - Once-through cooling</t>
  </si>
  <si>
    <t>Oil Shale - Direct Aboveground Retorting - Steam turbine - wet cooling</t>
  </si>
  <si>
    <t>Oil Shale - Direct Aboveground Retorting - Steam turbine - pond cooling</t>
  </si>
  <si>
    <t>Oil Shale - Indirect Aboveground Retorting - Combined cycle - Dry cooling</t>
  </si>
  <si>
    <t>Oil Shale - Indirect Aboveground Retorting - Steam turbine - Once-through cooling</t>
  </si>
  <si>
    <t>Oil Shale - Indirect Aboveground Retorting - Steam turbine - wet cooling</t>
  </si>
  <si>
    <t>Oil Shale - Indirect Aboveground Retorting - Steam turbine - pond cooling</t>
  </si>
  <si>
    <t>Oil Shale - Indirect Aboveground Retorting - Combined cycle, once-thru cooling</t>
  </si>
  <si>
    <t>Oil Shale - Modified In-Situ - Combined cycle, once-thru cooling</t>
  </si>
  <si>
    <t>Oil Shale - Modified In-Situ - Combined cycle, wet cooling</t>
  </si>
  <si>
    <t>Oil Shale - Modified In-Situ - Combined cycle - Dry cooling</t>
  </si>
  <si>
    <t>Oil Shale - Modified In-Situ - Steam turbine - Once-through cooling</t>
  </si>
  <si>
    <t>Oil Shale - Modified In-Situ - Steam turbine - wet cooling</t>
  </si>
  <si>
    <t>Oil Shale - Modified In-Situ - Steam turbine - pond cooling</t>
  </si>
  <si>
    <t>Oil Shale - Modified In-Situ/AGR - Combined cycle, once-thru cooling</t>
  </si>
  <si>
    <t>Oil Shale - Modified In-Situ/AGR - Combined cycle, wet cooling</t>
  </si>
  <si>
    <t>Oil Shale - Modified In-Situ/AGR - Combined cycle - Dry cooling</t>
  </si>
  <si>
    <t>Oil Shale - Modified In-Situ/AGR - Steam turbine - Once-through cooling</t>
  </si>
  <si>
    <t>Oil Shale - Modified In-Situ/AGR - Steam turbine - wet cooling</t>
  </si>
  <si>
    <t>Oil Shale - Modified In-Situ/AGR - Steam turbine - pond cooling</t>
  </si>
  <si>
    <t>BIOGAS</t>
  </si>
  <si>
    <t>Assumptions</t>
  </si>
  <si>
    <t>Source</t>
  </si>
  <si>
    <t>Assumes a 500 MW plant</t>
  </si>
  <si>
    <t>Other</t>
  </si>
  <si>
    <t>We assume no transportation costs, as energy is typically produced on-site (with landfill gas generation).</t>
  </si>
  <si>
    <t>Biogas (including landfill gas or WWTP gas - methane)</t>
  </si>
  <si>
    <t>Gasification-based, combined cycle generation</t>
  </si>
  <si>
    <t>Includes boiler feed water requirements but NOT wet scrubbing. Steam from the steam cycle is injected into the gasifier Asumes a specified efficiency of 36% and a HHV of 20 GJ/Mg.</t>
  </si>
  <si>
    <t>For methanol. Hydrogen values are much higher.</t>
  </si>
  <si>
    <t>Dedicated energy crops - rapeseed - gasification - syngas scrubbing</t>
  </si>
  <si>
    <t>Dedicated energy crops - sugarcane - gasification - syngas scrubbing</t>
  </si>
  <si>
    <t>Dedicated energy crops - Sugar beet - gasification - syngas scrubbing</t>
  </si>
  <si>
    <t>Dedicated energy crops - Corn - gasification - syngas scrubbing</t>
  </si>
  <si>
    <t>Dedicated energy crops - Wheat - gasification - syngas scrubbing</t>
  </si>
  <si>
    <t>Agricultural/Forestry Waste - gasification - syngas scrubbing</t>
  </si>
  <si>
    <t>Agricultural/Forestry Waste - Biomass-based steam plant</t>
  </si>
  <si>
    <t>Agricultural/Forestry Waste - Improved biomass-based steam plant</t>
  </si>
  <si>
    <t>Biogas - Simple cycle</t>
  </si>
  <si>
    <t>Biogas - Simple cycle with inlet fogging</t>
  </si>
  <si>
    <t>Biogas - Combined cycle with wet cooling and inlet fogging</t>
  </si>
  <si>
    <t>Biogas - Combined cycle with wet cooling</t>
  </si>
  <si>
    <t>Biogas - Combined cycle with dry cooling and inlet fogging</t>
  </si>
  <si>
    <t>Biogas - Combined cycle with dry cooling</t>
  </si>
  <si>
    <t>Biogas - Combined cycle, once-thru cooling</t>
  </si>
  <si>
    <t>Biogas - Steam turbine, once-thru cooling</t>
  </si>
  <si>
    <t>Biogas - Steam turbine, wet cooling</t>
  </si>
  <si>
    <t>Biogas - Steam turbine, pond cooling</t>
  </si>
  <si>
    <t>Unlike traditional natural gas, we assume no processing water needs (because landfill gas facilities often produce additional water by drying the captured gas). The processing water needed to produce energy from conventional natural gas is used in the pumping process.</t>
  </si>
  <si>
    <t>Simple Cycle</t>
  </si>
  <si>
    <t>Steam turbine, dry cooling</t>
  </si>
  <si>
    <t>Inlet fogging (additional option)</t>
  </si>
  <si>
    <t>Gleick says 0.36, but I use 0 in other places to avoid mismatching sources.</t>
  </si>
  <si>
    <t>Analysis assumes that oil cooling is the same as natural gas cooling.</t>
  </si>
  <si>
    <t>Mining, combined cycle conversion technology</t>
  </si>
  <si>
    <t>Mining, Simple cycle conversion technology</t>
  </si>
  <si>
    <t>Assumes a conversion efficiency of 36% (from thermal to electric Joules), source - Gleick (1994)</t>
  </si>
  <si>
    <t>Assumes a conversion efficiency of 60% for combined cycle plants</t>
  </si>
  <si>
    <t>Transportation, combined cycle conversion technology</t>
  </si>
  <si>
    <t>Transportation, simple cycle conversion technology</t>
  </si>
  <si>
    <t>Stoddard, et al.2006</t>
  </si>
  <si>
    <t>AWEA Website 2006</t>
  </si>
  <si>
    <t>The Last Straw; AWEA Website 2006</t>
  </si>
  <si>
    <t>Parabolic Trough Plant washing</t>
  </si>
  <si>
    <t>Parabolic Dish-Engine washing</t>
  </si>
  <si>
    <t>Power Tower washing</t>
  </si>
  <si>
    <t>PV - Distributed (Rooftop) Systems washing</t>
  </si>
  <si>
    <t>PV - Large Centralized Plant washing</t>
  </si>
  <si>
    <t>PV - Concentrating PV Systems washing</t>
  </si>
  <si>
    <t>Parabolic Trough Plant - wet cooling</t>
  </si>
  <si>
    <t>Parabolic Dish-Engine - dry cooling</t>
  </si>
  <si>
    <t>Power Tower - wet cooling</t>
  </si>
  <si>
    <t>Number for PV washing requirments used for both large plants and distributed gen (rooftop).</t>
  </si>
  <si>
    <t>No cooling required.</t>
  </si>
  <si>
    <t>Assumed to be roughly equal to washing needs of a Parabolic Trough plant as both have large mirror fields.</t>
  </si>
  <si>
    <t>N/A</t>
  </si>
  <si>
    <t>Numbers are thermoelectic averages</t>
  </si>
  <si>
    <t>[W] (Gleick 1994) from (Chan et al. 2006)</t>
  </si>
  <si>
    <t>[W] &amp; [C] (Liu 2002)</t>
  </si>
  <si>
    <t>[W] &amp; [C] (Klett 2005)</t>
  </si>
  <si>
    <t>[W] (Ziemkiewicz)
[C]Hypothesis bc I can't find numbers</t>
  </si>
  <si>
    <t>[CH] (Feeley et al. 2005)
[CL] (EPRI 2002)
[WH] (Feeley et al. 2005)
[WL] (EPRI 2002)</t>
  </si>
  <si>
    <t>Numbers from EPRI are thermoelectric averages</t>
  </si>
  <si>
    <t>[C]&amp;[W] (EPRI 2002)</t>
  </si>
  <si>
    <t>(Queensland Govt DOE)</t>
  </si>
  <si>
    <t>[C] (EPRI 2002)</t>
  </si>
  <si>
    <t>Pace University Environmental Law Center 1990</t>
  </si>
  <si>
    <r>
      <t>Hoffman et al. 2004:</t>
    </r>
    <r>
      <rPr>
        <u val="single"/>
        <sz val="10"/>
        <color indexed="12"/>
        <rFont val="Arial"/>
        <family val="0"/>
      </rPr>
      <t xml:space="preserve"> http://www.netl.doe.gov/technologies/coalpower/ewr/pubs/Estimating%20Freshwater%20Needs%20to%202025.pdf</t>
    </r>
  </si>
  <si>
    <t>EPRI 2002: Water &amp; Sustainability (Volume 3): U.S. Water Consumption for Power Production - The Next Half Century</t>
  </si>
  <si>
    <t>[W/L]:EPRI 2002; [W/H]:Hoffman et al. 2004; [C/H]:EPRI 2002; [C/L]: Hoffman et al. 2004</t>
  </si>
  <si>
    <t>[W] &amp; [C]: EPRI 2002</t>
  </si>
  <si>
    <t>[W] EPRI 2002; [C/L]: Hoffman et al. 2004; [C/H]: EPRI 2002</t>
  </si>
  <si>
    <t>[W] &amp; [C]: Gleick 1993</t>
  </si>
  <si>
    <t>[W]: EPRI 2002; [C/L]: Hoffman et al. 2004; [C/H] Pace University Environmental Law Center 1990;</t>
  </si>
  <si>
    <t>[W] EPRI 2002; [C/L]: EPRI 2002; [C/H]: Pace University Environmental Law Center 1990</t>
  </si>
  <si>
    <t xml:space="preserve">[W/L]: van Dam; [W/H]: J. Harris 2006; [C/L]: van Dam; [C/H]: J. Harris 2006  </t>
  </si>
  <si>
    <t xml:space="preserve">[W/L]: van Dam; [W/H]: AWEA 2006; [C/L]: van Dam; [C/H]: AWEA 2006 </t>
  </si>
  <si>
    <t>megagallon</t>
  </si>
  <si>
    <t>kWh/megagallon</t>
  </si>
  <si>
    <t>kWh/m^3</t>
  </si>
  <si>
    <t>kWh/af</t>
  </si>
  <si>
    <t>Special notes:</t>
  </si>
  <si>
    <t>Gleick 1994</t>
  </si>
  <si>
    <t>EPRI, CATF et al. 2003</t>
  </si>
  <si>
    <t>Maulbetsch 2006</t>
  </si>
  <si>
    <t>Maulbetsch 2006, EPRI, CATF et al. 2003</t>
  </si>
  <si>
    <t>[C](Gleick 1994)
[WL]Calculation based on (Gleick 1994) and NMA conversion
[WH] Coal Text Book</t>
  </si>
  <si>
    <t xml:space="preserve">Choose consumption higher value if revegetating
6150 kWh/ton of coal mined
</t>
  </si>
  <si>
    <t>[W, C]Sass and Priest 2002, Dept of Oil, Gas, and Geothermal Resources 2005</t>
  </si>
  <si>
    <t>Dedicated Energy Crops</t>
  </si>
  <si>
    <t>Waste Products</t>
  </si>
  <si>
    <t>Berndes, 2002 [W,C/H,L]</t>
  </si>
  <si>
    <t>USDOE/EPRI, 1997 and Berndes, 2001 [W,C/H,L]</t>
  </si>
  <si>
    <t>USDOE/EPRI, 1997 and Berndes, 2002 [W,C/H,L]</t>
  </si>
  <si>
    <t>Katofsky, 1993 and Berndes, 2002 [W,C/H,L]</t>
  </si>
  <si>
    <t>Gleick 1992 [W,C/H,L]</t>
  </si>
  <si>
    <t>Emerging Issues for Fossil Energy and Water, 2006 [W,C/H,L]</t>
  </si>
  <si>
    <t>Stoddard, et al.2006 [W,C/H,L]</t>
  </si>
  <si>
    <t>Stoddard, et al.2006 [W,C/L]; The Last Straw [W,C/H]</t>
  </si>
  <si>
    <t>Solar Paces 2007 [W,C/L];  Stoddard et al. 2006 [W,C/H]</t>
  </si>
  <si>
    <t>The Last Straw; Stoddard et al.  [W,C/H,L]</t>
  </si>
  <si>
    <t>Stoddard, et al.2006  [W,C/H,L]</t>
  </si>
  <si>
    <t>Stoddard, et al.2006 [W,C/L], Direct Communication, Mike Roverson, Kramer Junction [W,C/L], Last Straw [W,C/H]</t>
  </si>
  <si>
    <t>[CH] (Gleick 1994)
[CL] Set to Match WL
[WL]Calculation based on (Gleick 1994) and NMA conversion
[WH] Coal Text Book</t>
  </si>
  <si>
    <t>[CH](Gleick 1994)  from (Chan et al. 2006)
[WL]Coal Textbook
[WH]Set to match CH
[CL]Set to match WL</t>
  </si>
  <si>
    <t>High number found by subtracting the cooling water amt from the cooling and process water amt listed for this technology in the Last Straw</t>
  </si>
  <si>
    <t>Data is originally all in terms of "water use efficiency". We use the same numbers for rates of withdrawal and consumption, assuming that all applied water (for irrigation) is evapo-transpired. Original study assumes that, for the lower numbers (more efficient systems) waste byproducts and harvest residues are used to generate electricity.</t>
  </si>
  <si>
    <t>Assumes a 23% specified efficiency and a HHV at 20 Gj/Mg</t>
  </si>
  <si>
    <t>Average water withdrawal statistics for that size facility.</t>
  </si>
  <si>
    <t>Cooling, dry</t>
  </si>
  <si>
    <t>High number reflects the only external injection program of its kind, in the Geysers</t>
  </si>
  <si>
    <t>Steam dominated, dry cooling</t>
  </si>
  <si>
    <t>Water dominated, dry cooling</t>
  </si>
  <si>
    <t>We are no longer considering geothermal fluid or steam in this spreadsheet.</t>
  </si>
  <si>
    <t>Kagel mentions no numbers here; I am assuming the water required is negligible.  If fossil plants withdraw such little water for dry cooling, I am assuming that small amount can be easily met with geothermal fluid (which we aren't counting).</t>
  </si>
  <si>
    <t>[WH]/[CH]Kagel et al. 2005, USDOE 2006
[WL]/[CL]Kagel et al. 2005, USDOE 2006</t>
  </si>
  <si>
    <t>[WH]Hagedoorn 2006, [CH] Adams et al. 2005
[WL]/[CL]Hagedoorn 2006</t>
  </si>
  <si>
    <t>WL, CL from Bagnore, Italy; WH from Nesjavellir, Iceland.  CH from Salton Sea Unit 6.  The Iceland plant disposes of wastewater into groundwater flowing to a lake; maybe that explains the high.  I believe it's like a once-through cooling system.  Gleick says up to 15 m3/MWh if you need external water.  The Geysers requires no external water for cooling (Gleick 1994).</t>
  </si>
  <si>
    <t xml:space="preserve">FOR CALIFORNIA CASE STUDY, MORE SPECIFIC NUMBERS: </t>
  </si>
  <si>
    <t>Cooling, Imperial Valley</t>
  </si>
  <si>
    <t>Cooling, other locations in California</t>
  </si>
  <si>
    <t>Injection from external sources, water dominated system</t>
  </si>
  <si>
    <t>Injection from external sources, steam dominated system</t>
  </si>
  <si>
    <t>Cooling, once through</t>
  </si>
  <si>
    <t>Cooling, wet recirculating (cooling towers)</t>
  </si>
  <si>
    <t>Steam dominated, once through cooling</t>
  </si>
  <si>
    <t>Water dominated, once through cooling</t>
  </si>
  <si>
    <t>[WL]/[CL]Adams et al. 2005, [WH]/[CH]Charles et al. 2006</t>
  </si>
  <si>
    <t>Steam dominated, wet recirculating cooling</t>
  </si>
  <si>
    <t>Water dominated, wet recirculating cooling</t>
  </si>
  <si>
    <t>Biogas - Steam turbine, dry cooling</t>
  </si>
  <si>
    <t>Surface Mining - No Washing - Pulverized Slurry - Conventional Pulverized Combustion - Recirculating Cooling - Direct Dry Cooling</t>
  </si>
  <si>
    <t>average</t>
  </si>
  <si>
    <t>IGCC (Gasification)</t>
  </si>
  <si>
    <t>IGCC Makeup Water (ex. Cooling)</t>
  </si>
  <si>
    <t>IGCC Process Losses</t>
  </si>
  <si>
    <t>IGCC Flue Gas Water Losses</t>
  </si>
  <si>
    <t>IGCC Wet Cooling</t>
  </si>
  <si>
    <t>IGCC Pond Cooling</t>
  </si>
  <si>
    <t>PC Combustion</t>
  </si>
  <si>
    <t>PC Makeup Water (ex. Cooling)</t>
  </si>
  <si>
    <t>PC Process Losses</t>
  </si>
  <si>
    <t>PC Flue Gas Water Losses</t>
  </si>
  <si>
    <t>PC Flue Gas Desulfurization</t>
  </si>
  <si>
    <t>PC Wet Cooling</t>
  </si>
  <si>
    <t>PC Once-Through Cooling</t>
  </si>
  <si>
    <t>600MW pulverized coal plant.
Uses 35% less water when paired with an IGCC plant</t>
  </si>
  <si>
    <t>PC Pond Cooling</t>
  </si>
  <si>
    <t>PC Hybrid Wet-Dry Cooling</t>
  </si>
  <si>
    <t>Results in about 50% less water consumption than a conventional closed-loop wet cooling system
Consumption is 20-80% of recirculating wet cooling
Uses 35% less water when paired with an IGCC plant</t>
  </si>
  <si>
    <t>PC Direct Dry Cooling</t>
  </si>
  <si>
    <t>Dry cooling cuts consumption by 95% (Compared to wet cooling)
Uses 35% less water when paired with an IGCC plant</t>
  </si>
  <si>
    <t>PC Indirect Dry Cooling</t>
  </si>
  <si>
    <t>Same as direct cooling
Uses 35% less water when paired with an IGCC plant</t>
  </si>
  <si>
    <t xml:space="preserve">Key for Reading Spreadsheets </t>
  </si>
  <si>
    <t>Water inputs for all energy sources (EXCEPT coal) are color coded as follows:</t>
  </si>
  <si>
    <t>Agriculture</t>
  </si>
  <si>
    <t>Mining</t>
  </si>
  <si>
    <t>Transportation</t>
  </si>
  <si>
    <t>Cooling</t>
  </si>
  <si>
    <t>Cleaning</t>
  </si>
  <si>
    <t>Evaporative Losses (hydroelectric facilities only)</t>
  </si>
  <si>
    <t>References and sources are identified with their numbers using the following code:</t>
  </si>
  <si>
    <t>W=</t>
  </si>
  <si>
    <t>C=</t>
  </si>
  <si>
    <t>H=</t>
  </si>
  <si>
    <t>High figure</t>
  </si>
  <si>
    <t>L=</t>
  </si>
  <si>
    <t>Low figure</t>
  </si>
  <si>
    <t>Solar Power Production Method</t>
  </si>
  <si>
    <t>Assumes a 500 MW plant. Analysis assumes that water requirements for landfill gas facilities are comparable to those for conventional natural gas facilities. All data are taken from conventional natural gas facilities.</t>
  </si>
  <si>
    <t>At the top of each spreadsheet, the water requirements for each step in the generation process are listed. At the bottom of each spreadsheet, different technological options are combined and total estimates of water requirements are provided.</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</si>
</sst>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
    <numFmt numFmtId="169" formatCode="0.0000"/>
    <numFmt numFmtId="170" formatCode="0.000"/>
    <numFmt numFmtId="171" formatCode="0.0"/>
    <numFmt numFmtId="172" formatCode="0.00000"/>
    <numFmt numFmtId="173" formatCode="0.000000000"/>
    <numFmt numFmtId="174" formatCode="#,##0.0"/>
    <numFmt numFmtId="175" formatCode="#,##0.000"/>
    <numFmt numFmtId="176" formatCode="#,##0.0000"/>
    <numFmt numFmtId="177" formatCode="#,##0.00000"/>
    <numFmt numFmtId="178" formatCode="#,##0.000000"/>
    <numFmt numFmtId="179" formatCode="#,##0.0000000"/>
    <numFmt numFmtId="180" formatCode="#,##0.00000000"/>
    <numFmt numFmtId="181" formatCode="#,##0.000000000"/>
    <numFmt numFmtId="182" formatCode="0.E+00"/>
    <numFmt numFmtId="183" formatCode="0.0%"/>
  </numFmts>
  <fonts count="16">
    <font>
      <sz val="10"/>
      <name val="Arial"/>
      <family val="0"/>
    </font>
    <font>
      <sz val="8"/>
      <name val="Arial"/>
      <family val="0"/>
    </font>
    <font>
      <u val="single"/>
      <sz val="10"/>
      <color indexed="36"/>
      <name val="Arial"/>
      <family val="0"/>
    </font>
    <font>
      <u val="single"/>
      <sz val="10"/>
      <color indexed="12"/>
      <name val="Arial"/>
      <family val="0"/>
    </font>
    <font>
      <sz val="10"/>
      <color indexed="9"/>
      <name val="Arial"/>
      <family val="2"/>
    </font>
    <font>
      <b/>
      <sz val="10"/>
      <name val="Arial"/>
      <family val="2"/>
    </font>
    <font>
      <b/>
      <u val="single"/>
      <sz val="10"/>
      <name val="Arial"/>
      <family val="2"/>
    </font>
    <font>
      <b/>
      <sz val="8"/>
      <name val="Tahoma"/>
      <family val="0"/>
    </font>
    <font>
      <sz val="8"/>
      <name val="Tahoma"/>
      <family val="2"/>
    </font>
    <font>
      <b/>
      <sz val="14"/>
      <name val="Arial"/>
      <family val="2"/>
    </font>
    <font>
      <b/>
      <sz val="12"/>
      <name val="Arial"/>
      <family val="2"/>
    </font>
    <font>
      <b/>
      <sz val="9.75"/>
      <name val="Arial"/>
      <family val="2"/>
    </font>
    <font>
      <b/>
      <sz val="8"/>
      <name val="Arial"/>
      <family val="0"/>
    </font>
    <font>
      <b/>
      <vertAlign val="superscript"/>
      <sz val="8"/>
      <name val="Arial"/>
      <family val="2"/>
    </font>
    <font>
      <sz val="1"/>
      <name val="Arial"/>
      <family val="0"/>
    </font>
    <font>
      <sz val="12"/>
      <name val="Arial"/>
      <family val="2"/>
    </font>
  </fonts>
  <fills count="16">
    <fill>
      <patternFill/>
    </fill>
    <fill>
      <patternFill patternType="gray125"/>
    </fill>
    <fill>
      <patternFill patternType="solid">
        <fgColor indexed="8"/>
        <bgColor indexed="64"/>
      </patternFill>
    </fill>
    <fill>
      <patternFill patternType="solid">
        <fgColor indexed="46"/>
        <bgColor indexed="64"/>
      </patternFill>
    </fill>
    <fill>
      <patternFill patternType="solid">
        <fgColor indexed="43"/>
        <bgColor indexed="64"/>
      </patternFill>
    </fill>
    <fill>
      <patternFill patternType="solid">
        <fgColor indexed="44"/>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14"/>
        <bgColor indexed="64"/>
      </patternFill>
    </fill>
    <fill>
      <patternFill patternType="solid">
        <fgColor indexed="49"/>
        <bgColor indexed="64"/>
      </patternFill>
    </fill>
    <fill>
      <patternFill patternType="solid">
        <fgColor indexed="53"/>
        <bgColor indexed="64"/>
      </patternFill>
    </fill>
    <fill>
      <patternFill patternType="solid">
        <fgColor indexed="22"/>
        <bgColor indexed="64"/>
      </patternFill>
    </fill>
    <fill>
      <patternFill patternType="solid">
        <fgColor indexed="9"/>
        <bgColor indexed="64"/>
      </patternFill>
    </fill>
    <fill>
      <patternFill patternType="solid">
        <fgColor indexed="51"/>
        <bgColor indexed="64"/>
      </patternFill>
    </fill>
  </fills>
  <borders count="31">
    <border>
      <left/>
      <right/>
      <top/>
      <bottom/>
      <diagonal/>
    </border>
    <border>
      <left>
        <color indexed="63"/>
      </left>
      <right>
        <color indexed="63"/>
      </right>
      <top>
        <color indexed="63"/>
      </top>
      <bottom style="medium"/>
    </border>
    <border>
      <left style="thin"/>
      <right style="thin"/>
      <top style="thin"/>
      <bottom style="thin"/>
    </border>
    <border>
      <left style="thin"/>
      <right style="medium"/>
      <top style="medium"/>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style="medium"/>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color indexed="63"/>
      </left>
      <right>
        <color indexed="63"/>
      </right>
      <top style="medium"/>
      <bottom style="mediu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41">
    <xf numFmtId="0" fontId="0" fillId="0" borderId="0" xfId="0" applyAlignment="1">
      <alignment/>
    </xf>
    <xf numFmtId="0" fontId="0" fillId="0" borderId="0" xfId="0" applyFont="1" applyBorder="1" applyAlignment="1">
      <alignment/>
    </xf>
    <xf numFmtId="0" fontId="0" fillId="0" borderId="0" xfId="0" applyFont="1" applyFill="1" applyBorder="1" applyAlignment="1">
      <alignment/>
    </xf>
    <xf numFmtId="0" fontId="4" fillId="2" borderId="0" xfId="0" applyFont="1" applyFill="1" applyBorder="1" applyAlignment="1">
      <alignment/>
    </xf>
    <xf numFmtId="0" fontId="5" fillId="0" borderId="0" xfId="0" applyFont="1" applyAlignment="1">
      <alignment/>
    </xf>
    <xf numFmtId="0" fontId="6" fillId="0" borderId="0" xfId="0" applyFont="1" applyAlignment="1">
      <alignment/>
    </xf>
    <xf numFmtId="0" fontId="5" fillId="3" borderId="0" xfId="0" applyFont="1" applyFill="1" applyAlignment="1">
      <alignment/>
    </xf>
    <xf numFmtId="0" fontId="5" fillId="4" borderId="0" xfId="0" applyFont="1" applyFill="1" applyAlignment="1">
      <alignment/>
    </xf>
    <xf numFmtId="0" fontId="5" fillId="0" borderId="1" xfId="0" applyFont="1" applyBorder="1" applyAlignment="1">
      <alignment/>
    </xf>
    <xf numFmtId="0" fontId="0" fillId="0" borderId="2" xfId="0" applyFont="1" applyFill="1" applyBorder="1" applyAlignment="1">
      <alignment/>
    </xf>
    <xf numFmtId="0" fontId="0" fillId="0" borderId="2" xfId="0" applyFont="1" applyFill="1" applyBorder="1" applyAlignment="1">
      <alignment wrapText="1"/>
    </xf>
    <xf numFmtId="0" fontId="4" fillId="2" borderId="3" xfId="0" applyFont="1" applyFill="1" applyBorder="1" applyAlignment="1">
      <alignment/>
    </xf>
    <xf numFmtId="0" fontId="4" fillId="2" borderId="4" xfId="0" applyFont="1" applyFill="1" applyBorder="1" applyAlignment="1">
      <alignment/>
    </xf>
    <xf numFmtId="0" fontId="0" fillId="0" borderId="2" xfId="0" applyNumberFormat="1" applyFont="1" applyBorder="1" applyAlignment="1">
      <alignment/>
    </xf>
    <xf numFmtId="169" fontId="0" fillId="0" borderId="5" xfId="0" applyNumberFormat="1" applyFont="1" applyBorder="1" applyAlignment="1">
      <alignment/>
    </xf>
    <xf numFmtId="169" fontId="0" fillId="0" borderId="2" xfId="0" applyNumberFormat="1" applyFont="1" applyBorder="1" applyAlignment="1">
      <alignment/>
    </xf>
    <xf numFmtId="0" fontId="0" fillId="5" borderId="2" xfId="0" applyFont="1" applyFill="1" applyBorder="1" applyAlignment="1">
      <alignment vertical="center" wrapText="1"/>
    </xf>
    <xf numFmtId="169" fontId="0" fillId="0" borderId="2" xfId="0" applyNumberFormat="1" applyFont="1" applyFill="1" applyBorder="1" applyAlignment="1">
      <alignment/>
    </xf>
    <xf numFmtId="0" fontId="0" fillId="0" borderId="0" xfId="0" applyFont="1" applyBorder="1" applyAlignment="1">
      <alignment wrapText="1"/>
    </xf>
    <xf numFmtId="0" fontId="0" fillId="0" borderId="0" xfId="0" applyFont="1" applyBorder="1" applyAlignment="1">
      <alignment vertical="center" wrapText="1"/>
    </xf>
    <xf numFmtId="0" fontId="0" fillId="0" borderId="2" xfId="0" applyFont="1" applyBorder="1" applyAlignment="1">
      <alignment wrapText="1"/>
    </xf>
    <xf numFmtId="0" fontId="0" fillId="0" borderId="2" xfId="0" applyFont="1" applyBorder="1" applyAlignment="1">
      <alignment vertical="center"/>
    </xf>
    <xf numFmtId="0" fontId="0" fillId="4" borderId="6" xfId="0" applyFont="1" applyFill="1" applyBorder="1" applyAlignment="1">
      <alignment/>
    </xf>
    <xf numFmtId="0" fontId="4" fillId="2" borderId="7" xfId="0" applyFont="1" applyFill="1" applyBorder="1" applyAlignment="1">
      <alignment/>
    </xf>
    <xf numFmtId="169" fontId="0" fillId="0" borderId="2" xfId="0" applyNumberFormat="1" applyFont="1" applyBorder="1" applyAlignment="1">
      <alignment vertical="center" wrapText="1"/>
    </xf>
    <xf numFmtId="170" fontId="0" fillId="0" borderId="2" xfId="0" applyNumberFormat="1" applyFont="1" applyFill="1" applyBorder="1" applyAlignment="1">
      <alignment/>
    </xf>
    <xf numFmtId="0" fontId="0" fillId="0" borderId="0" xfId="0" applyNumberFormat="1" applyFont="1" applyFill="1" applyBorder="1" applyAlignment="1">
      <alignment/>
    </xf>
    <xf numFmtId="0" fontId="0" fillId="4" borderId="8" xfId="0" applyFont="1" applyFill="1" applyBorder="1" applyAlignment="1">
      <alignment horizontal="centerContinuous"/>
    </xf>
    <xf numFmtId="0" fontId="0" fillId="4" borderId="9" xfId="0" applyFont="1" applyFill="1" applyBorder="1" applyAlignment="1">
      <alignment horizontal="centerContinuous"/>
    </xf>
    <xf numFmtId="0" fontId="0" fillId="4" borderId="10" xfId="0" applyFont="1" applyFill="1" applyBorder="1" applyAlignment="1">
      <alignment horizontal="centerContinuous"/>
    </xf>
    <xf numFmtId="0" fontId="0" fillId="4" borderId="11" xfId="0" applyFont="1" applyFill="1" applyBorder="1" applyAlignment="1">
      <alignment horizontal="centerContinuous"/>
    </xf>
    <xf numFmtId="0" fontId="0" fillId="6" borderId="2" xfId="0" applyFont="1" applyFill="1" applyBorder="1" applyAlignment="1">
      <alignment/>
    </xf>
    <xf numFmtId="0" fontId="0" fillId="0" borderId="2" xfId="0" applyFont="1" applyBorder="1" applyAlignment="1">
      <alignment/>
    </xf>
    <xf numFmtId="169" fontId="0" fillId="0" borderId="0" xfId="0" applyNumberFormat="1" applyFont="1" applyFill="1" applyBorder="1" applyAlignment="1">
      <alignment/>
    </xf>
    <xf numFmtId="0" fontId="0" fillId="0" borderId="0" xfId="0" applyFont="1" applyBorder="1" applyAlignment="1">
      <alignment vertical="center"/>
    </xf>
    <xf numFmtId="0" fontId="0" fillId="6" borderId="2" xfId="0" applyFont="1" applyFill="1" applyBorder="1" applyAlignment="1">
      <alignment vertical="center"/>
    </xf>
    <xf numFmtId="2" fontId="0" fillId="0" borderId="2" xfId="0" applyNumberFormat="1" applyFont="1" applyBorder="1" applyAlignment="1">
      <alignment/>
    </xf>
    <xf numFmtId="1" fontId="0" fillId="0" borderId="2" xfId="0" applyNumberFormat="1" applyFont="1" applyBorder="1" applyAlignment="1">
      <alignment/>
    </xf>
    <xf numFmtId="0" fontId="0" fillId="0" borderId="2" xfId="20" applyNumberFormat="1" applyFont="1" applyFill="1" applyBorder="1" applyAlignment="1">
      <alignment wrapText="1"/>
    </xf>
    <xf numFmtId="0" fontId="0" fillId="0" borderId="0" xfId="0" applyFont="1" applyFill="1" applyAlignment="1">
      <alignment/>
    </xf>
    <xf numFmtId="0" fontId="5" fillId="0" borderId="0" xfId="0" applyFont="1" applyFill="1" applyAlignment="1">
      <alignment/>
    </xf>
    <xf numFmtId="0" fontId="0" fillId="0" borderId="0" xfId="0" applyFont="1" applyAlignment="1">
      <alignment/>
    </xf>
    <xf numFmtId="0" fontId="5" fillId="0" borderId="0" xfId="0" applyFont="1" applyBorder="1" applyAlignment="1">
      <alignment/>
    </xf>
    <xf numFmtId="1" fontId="0" fillId="0" borderId="2" xfId="0" applyNumberFormat="1" applyFont="1" applyBorder="1" applyAlignment="1">
      <alignment vertical="center" wrapText="1"/>
    </xf>
    <xf numFmtId="170" fontId="0" fillId="0" borderId="2" xfId="0" applyNumberFormat="1" applyFont="1" applyBorder="1" applyAlignment="1">
      <alignment/>
    </xf>
    <xf numFmtId="0" fontId="0" fillId="0" borderId="0" xfId="0" applyFont="1" applyFill="1" applyBorder="1" applyAlignment="1">
      <alignment vertical="center" wrapText="1"/>
    </xf>
    <xf numFmtId="0" fontId="0" fillId="7" borderId="2" xfId="0" applyFont="1" applyFill="1" applyBorder="1" applyAlignment="1">
      <alignment/>
    </xf>
    <xf numFmtId="1" fontId="0" fillId="0" borderId="2" xfId="20" applyNumberFormat="1" applyFont="1" applyFill="1" applyBorder="1" applyAlignment="1">
      <alignment wrapText="1"/>
    </xf>
    <xf numFmtId="11" fontId="0" fillId="0" borderId="2" xfId="20" applyNumberFormat="1" applyFont="1" applyFill="1" applyBorder="1" applyAlignment="1">
      <alignment wrapText="1"/>
    </xf>
    <xf numFmtId="0" fontId="0" fillId="5" borderId="2" xfId="0" applyFont="1" applyFill="1" applyBorder="1" applyAlignment="1">
      <alignment/>
    </xf>
    <xf numFmtId="0" fontId="0" fillId="4" borderId="2" xfId="0" applyFont="1" applyFill="1" applyBorder="1" applyAlignment="1">
      <alignment/>
    </xf>
    <xf numFmtId="0" fontId="0" fillId="8" borderId="2" xfId="0" applyFont="1" applyFill="1" applyBorder="1" applyAlignment="1">
      <alignment/>
    </xf>
    <xf numFmtId="0" fontId="0" fillId="3" borderId="2" xfId="0" applyFont="1" applyFill="1" applyBorder="1" applyAlignment="1">
      <alignment/>
    </xf>
    <xf numFmtId="0" fontId="0" fillId="0" borderId="0" xfId="0" applyFont="1" applyFill="1" applyBorder="1" applyAlignment="1">
      <alignment vertical="center"/>
    </xf>
    <xf numFmtId="0" fontId="0" fillId="0" borderId="2" xfId="0" applyFont="1" applyFill="1" applyBorder="1" applyAlignment="1">
      <alignment vertical="center"/>
    </xf>
    <xf numFmtId="170" fontId="0" fillId="0" borderId="0" xfId="0" applyNumberFormat="1" applyFont="1" applyBorder="1" applyAlignment="1">
      <alignment/>
    </xf>
    <xf numFmtId="0" fontId="0" fillId="3" borderId="0" xfId="0" applyFont="1" applyFill="1" applyAlignment="1">
      <alignment/>
    </xf>
    <xf numFmtId="0" fontId="0" fillId="4" borderId="0" xfId="0" applyFont="1" applyFill="1" applyAlignment="1">
      <alignment/>
    </xf>
    <xf numFmtId="0" fontId="0" fillId="0" borderId="12" xfId="0" applyFont="1" applyBorder="1" applyAlignment="1">
      <alignment/>
    </xf>
    <xf numFmtId="0" fontId="0" fillId="0" borderId="0" xfId="0" applyNumberFormat="1" applyFont="1" applyAlignment="1">
      <alignment/>
    </xf>
    <xf numFmtId="0" fontId="0" fillId="0" borderId="1" xfId="0" applyFont="1" applyBorder="1" applyAlignment="1">
      <alignment/>
    </xf>
    <xf numFmtId="0" fontId="0" fillId="0" borderId="1" xfId="0" applyNumberFormat="1" applyFont="1" applyBorder="1" applyAlignment="1">
      <alignment/>
    </xf>
    <xf numFmtId="11" fontId="0" fillId="0" borderId="12" xfId="0" applyNumberFormat="1" applyFont="1" applyBorder="1" applyAlignment="1">
      <alignment/>
    </xf>
    <xf numFmtId="11" fontId="0" fillId="0" borderId="0" xfId="0" applyNumberFormat="1" applyFont="1" applyAlignment="1">
      <alignment/>
    </xf>
    <xf numFmtId="11" fontId="0" fillId="0" borderId="0" xfId="0" applyNumberFormat="1" applyFont="1" applyBorder="1" applyAlignment="1">
      <alignment/>
    </xf>
    <xf numFmtId="169" fontId="0" fillId="0" borderId="12" xfId="0" applyNumberFormat="1" applyFont="1" applyBorder="1" applyAlignment="1">
      <alignment/>
    </xf>
    <xf numFmtId="0" fontId="0" fillId="4" borderId="13" xfId="0" applyFont="1" applyFill="1" applyBorder="1" applyAlignment="1">
      <alignment horizontal="centerContinuous" vertical="center"/>
    </xf>
    <xf numFmtId="0" fontId="0" fillId="4" borderId="14" xfId="0" applyFont="1" applyFill="1" applyBorder="1" applyAlignment="1">
      <alignment horizontal="centerContinuous" vertical="center"/>
    </xf>
    <xf numFmtId="0" fontId="0" fillId="0" borderId="8" xfId="0" applyFont="1" applyBorder="1" applyAlignment="1">
      <alignment/>
    </xf>
    <xf numFmtId="0" fontId="0" fillId="4" borderId="6" xfId="0" applyFont="1" applyFill="1" applyBorder="1" applyAlignment="1">
      <alignment horizontal="centerContinuous" wrapText="1"/>
    </xf>
    <xf numFmtId="0" fontId="0" fillId="4" borderId="5" xfId="0" applyFont="1" applyFill="1" applyBorder="1" applyAlignment="1">
      <alignment horizontal="centerContinuous" wrapText="1"/>
    </xf>
    <xf numFmtId="0" fontId="0" fillId="4" borderId="15" xfId="0" applyFont="1" applyFill="1" applyBorder="1" applyAlignment="1">
      <alignment horizontal="centerContinuous" wrapText="1"/>
    </xf>
    <xf numFmtId="0" fontId="0" fillId="0" borderId="10" xfId="0" applyFont="1" applyBorder="1" applyAlignment="1">
      <alignment/>
    </xf>
    <xf numFmtId="0" fontId="0" fillId="9" borderId="2" xfId="0" applyFont="1" applyFill="1" applyBorder="1" applyAlignment="1">
      <alignment horizontal="center"/>
    </xf>
    <xf numFmtId="0" fontId="0" fillId="0" borderId="2" xfId="0" applyFont="1" applyBorder="1" applyAlignment="1">
      <alignment/>
    </xf>
    <xf numFmtId="0" fontId="0" fillId="4" borderId="0" xfId="0" applyFont="1" applyFill="1" applyBorder="1" applyAlignment="1">
      <alignment horizontal="centerContinuous" vertical="center"/>
    </xf>
    <xf numFmtId="0" fontId="0" fillId="4" borderId="0" xfId="0" applyFont="1" applyFill="1" applyBorder="1" applyAlignment="1">
      <alignment horizontal="centerContinuous" wrapText="1"/>
    </xf>
    <xf numFmtId="0" fontId="0" fillId="9" borderId="0" xfId="0" applyFont="1" applyFill="1" applyBorder="1" applyAlignment="1">
      <alignment horizontal="center"/>
    </xf>
    <xf numFmtId="0" fontId="0" fillId="0" borderId="0" xfId="0" applyFont="1" applyBorder="1" applyAlignment="1">
      <alignment/>
    </xf>
    <xf numFmtId="170" fontId="0" fillId="0" borderId="0" xfId="0" applyNumberFormat="1" applyFont="1" applyAlignment="1">
      <alignment/>
    </xf>
    <xf numFmtId="0" fontId="0" fillId="0" borderId="0" xfId="0" applyFont="1" applyAlignment="1">
      <alignment vertical="center" wrapText="1"/>
    </xf>
    <xf numFmtId="0" fontId="0" fillId="0" borderId="0" xfId="0" applyFont="1" applyAlignment="1">
      <alignment wrapText="1"/>
    </xf>
    <xf numFmtId="171" fontId="0" fillId="0" borderId="2" xfId="0" applyNumberFormat="1" applyFont="1" applyBorder="1" applyAlignment="1">
      <alignment/>
    </xf>
    <xf numFmtId="0" fontId="0" fillId="0" borderId="16" xfId="0" applyFont="1" applyBorder="1" applyAlignment="1">
      <alignment/>
    </xf>
    <xf numFmtId="171" fontId="0" fillId="0" borderId="0" xfId="0" applyNumberFormat="1" applyFont="1" applyBorder="1" applyAlignment="1">
      <alignment/>
    </xf>
    <xf numFmtId="0" fontId="0" fillId="0" borderId="0" xfId="0" applyFont="1" applyFill="1" applyBorder="1" applyAlignment="1">
      <alignment/>
    </xf>
    <xf numFmtId="169" fontId="0" fillId="0" borderId="0" xfId="0" applyNumberFormat="1"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5" xfId="0" applyFont="1" applyBorder="1" applyAlignment="1">
      <alignment wrapText="1"/>
    </xf>
    <xf numFmtId="0" fontId="0" fillId="4" borderId="5" xfId="0" applyFont="1" applyFill="1" applyBorder="1" applyAlignment="1">
      <alignment/>
    </xf>
    <xf numFmtId="0" fontId="0" fillId="4" borderId="2" xfId="0" applyFont="1" applyFill="1" applyBorder="1" applyAlignment="1">
      <alignment horizontal="center"/>
    </xf>
    <xf numFmtId="172" fontId="0" fillId="0" borderId="2" xfId="0" applyNumberFormat="1" applyFont="1" applyFill="1" applyBorder="1" applyAlignment="1">
      <alignment horizontal="center"/>
    </xf>
    <xf numFmtId="172" fontId="0" fillId="4" borderId="2" xfId="0" applyNumberFormat="1" applyFont="1" applyFill="1" applyBorder="1" applyAlignment="1">
      <alignment horizontal="center"/>
    </xf>
    <xf numFmtId="0" fontId="0" fillId="10" borderId="0" xfId="0" applyFont="1" applyFill="1" applyAlignment="1">
      <alignment/>
    </xf>
    <xf numFmtId="172" fontId="0" fillId="10" borderId="2" xfId="0" applyNumberFormat="1" applyFont="1" applyFill="1" applyBorder="1" applyAlignment="1">
      <alignment/>
    </xf>
    <xf numFmtId="172" fontId="0" fillId="0" borderId="2" xfId="0" applyNumberFormat="1" applyFont="1" applyBorder="1" applyAlignment="1">
      <alignment/>
    </xf>
    <xf numFmtId="172" fontId="0" fillId="0" borderId="2" xfId="0" applyNumberFormat="1" applyFont="1" applyFill="1" applyBorder="1" applyAlignment="1">
      <alignment/>
    </xf>
    <xf numFmtId="0" fontId="0" fillId="11" borderId="0" xfId="0" applyFont="1" applyFill="1" applyAlignment="1">
      <alignment/>
    </xf>
    <xf numFmtId="172" fontId="0" fillId="11" borderId="2" xfId="0" applyNumberFormat="1" applyFont="1" applyFill="1" applyBorder="1" applyAlignment="1">
      <alignment/>
    </xf>
    <xf numFmtId="0" fontId="0" fillId="4" borderId="6" xfId="0" applyFont="1" applyFill="1" applyBorder="1" applyAlignment="1">
      <alignment horizontal="centerContinuous" vertical="center"/>
    </xf>
    <xf numFmtId="0" fontId="0" fillId="4" borderId="15" xfId="0" applyFont="1" applyFill="1" applyBorder="1" applyAlignment="1">
      <alignment horizontal="centerContinuous" vertical="center"/>
    </xf>
    <xf numFmtId="0" fontId="0" fillId="4" borderId="5"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0" fillId="4" borderId="15" xfId="0" applyFont="1" applyFill="1" applyBorder="1" applyAlignment="1">
      <alignment vertical="center"/>
    </xf>
    <xf numFmtId="0" fontId="0" fillId="0" borderId="0" xfId="20" applyFont="1" applyAlignment="1">
      <alignment/>
    </xf>
    <xf numFmtId="0" fontId="0" fillId="0" borderId="0" xfId="0" applyFont="1" applyAlignment="1" quotePrefix="1">
      <alignment/>
    </xf>
    <xf numFmtId="0" fontId="0" fillId="12" borderId="0" xfId="0" applyFont="1" applyFill="1" applyAlignment="1">
      <alignment/>
    </xf>
    <xf numFmtId="0" fontId="0" fillId="13" borderId="0" xfId="0" applyFont="1" applyFill="1" applyBorder="1" applyAlignment="1">
      <alignment/>
    </xf>
    <xf numFmtId="0" fontId="0" fillId="0" borderId="4" xfId="0" applyFont="1" applyBorder="1" applyAlignment="1">
      <alignment/>
    </xf>
    <xf numFmtId="0" fontId="0" fillId="8" borderId="18" xfId="0" applyFont="1" applyFill="1" applyBorder="1" applyAlignment="1">
      <alignment/>
    </xf>
    <xf numFmtId="0" fontId="0" fillId="0" borderId="11" xfId="0" applyFont="1" applyBorder="1" applyAlignment="1">
      <alignment/>
    </xf>
    <xf numFmtId="0" fontId="4" fillId="2" borderId="17" xfId="0" applyFont="1" applyFill="1" applyBorder="1" applyAlignment="1">
      <alignment/>
    </xf>
    <xf numFmtId="0" fontId="0" fillId="0" borderId="19" xfId="0" applyFont="1" applyBorder="1" applyAlignment="1">
      <alignment/>
    </xf>
    <xf numFmtId="2" fontId="0" fillId="14" borderId="2" xfId="0" applyNumberFormat="1" applyFont="1" applyFill="1" applyBorder="1" applyAlignment="1">
      <alignment/>
    </xf>
    <xf numFmtId="1" fontId="0" fillId="0" borderId="2" xfId="0" applyNumberFormat="1" applyFont="1" applyFill="1" applyBorder="1" applyAlignment="1">
      <alignment/>
    </xf>
    <xf numFmtId="2" fontId="0" fillId="0" borderId="2" xfId="0" applyNumberFormat="1" applyFont="1" applyFill="1" applyBorder="1" applyAlignment="1">
      <alignment/>
    </xf>
    <xf numFmtId="169" fontId="0" fillId="0" borderId="0" xfId="0" applyNumberFormat="1" applyFont="1" applyAlignment="1">
      <alignment/>
    </xf>
    <xf numFmtId="0" fontId="0" fillId="0" borderId="20" xfId="0" applyFont="1" applyFill="1" applyBorder="1" applyAlignment="1">
      <alignment/>
    </xf>
    <xf numFmtId="2" fontId="0" fillId="0" borderId="14" xfId="0" applyNumberFormat="1" applyFont="1" applyFill="1" applyBorder="1" applyAlignment="1">
      <alignment/>
    </xf>
    <xf numFmtId="2" fontId="0" fillId="0" borderId="10" xfId="0" applyNumberFormat="1" applyFont="1" applyFill="1" applyBorder="1" applyAlignment="1">
      <alignment/>
    </xf>
    <xf numFmtId="0" fontId="0" fillId="0" borderId="21" xfId="0" applyFont="1" applyFill="1" applyBorder="1" applyAlignment="1">
      <alignment/>
    </xf>
    <xf numFmtId="2" fontId="0" fillId="0" borderId="6" xfId="0" applyNumberFormat="1" applyFont="1" applyFill="1" applyBorder="1" applyAlignment="1">
      <alignment/>
    </xf>
    <xf numFmtId="0" fontId="0" fillId="0" borderId="22" xfId="0" applyFont="1" applyFill="1" applyBorder="1" applyAlignment="1">
      <alignment/>
    </xf>
    <xf numFmtId="2" fontId="0" fillId="0" borderId="23" xfId="0" applyNumberFormat="1" applyFont="1" applyFill="1" applyBorder="1" applyAlignment="1">
      <alignment/>
    </xf>
    <xf numFmtId="2" fontId="0" fillId="0" borderId="24" xfId="0" applyNumberFormat="1" applyFont="1" applyFill="1" applyBorder="1" applyAlignment="1">
      <alignment/>
    </xf>
    <xf numFmtId="0" fontId="0" fillId="15" borderId="25" xfId="0" applyFont="1" applyFill="1" applyBorder="1" applyAlignment="1">
      <alignment/>
    </xf>
    <xf numFmtId="2" fontId="0" fillId="0" borderId="26" xfId="0" applyNumberFormat="1" applyFont="1" applyFill="1" applyBorder="1" applyAlignment="1">
      <alignment/>
    </xf>
    <xf numFmtId="2" fontId="0" fillId="0" borderId="27" xfId="0" applyNumberFormat="1" applyFont="1" applyFill="1" applyBorder="1" applyAlignment="1">
      <alignment/>
    </xf>
    <xf numFmtId="0" fontId="0" fillId="3" borderId="28" xfId="0" applyFill="1" applyBorder="1" applyAlignment="1">
      <alignment/>
    </xf>
    <xf numFmtId="2" fontId="0" fillId="0" borderId="2" xfId="0" applyNumberFormat="1" applyFill="1" applyBorder="1" applyAlignment="1">
      <alignment/>
    </xf>
    <xf numFmtId="2" fontId="0" fillId="0" borderId="2" xfId="0" applyNumberFormat="1" applyFill="1" applyBorder="1" applyAlignment="1" quotePrefix="1">
      <alignment horizontal="center"/>
    </xf>
    <xf numFmtId="2" fontId="0" fillId="0" borderId="6" xfId="0" applyNumberFormat="1" applyFill="1" applyBorder="1" applyAlignment="1" quotePrefix="1">
      <alignment horizontal="center"/>
    </xf>
    <xf numFmtId="0" fontId="0" fillId="0" borderId="2" xfId="0" applyBorder="1" applyAlignment="1">
      <alignment/>
    </xf>
    <xf numFmtId="2" fontId="0" fillId="0" borderId="6" xfId="0" applyNumberFormat="1" applyFill="1" applyBorder="1" applyAlignment="1">
      <alignment/>
    </xf>
    <xf numFmtId="0" fontId="0" fillId="9" borderId="21" xfId="0" applyFont="1" applyFill="1" applyBorder="1" applyAlignment="1">
      <alignment/>
    </xf>
    <xf numFmtId="0" fontId="0" fillId="9" borderId="22" xfId="0" applyFont="1" applyFill="1" applyBorder="1" applyAlignment="1">
      <alignment/>
    </xf>
    <xf numFmtId="0" fontId="0" fillId="3" borderId="21" xfId="0" applyFont="1" applyFill="1" applyBorder="1" applyAlignment="1">
      <alignment/>
    </xf>
    <xf numFmtId="2" fontId="0" fillId="14" borderId="6" xfId="0" applyNumberFormat="1" applyFont="1" applyFill="1" applyBorder="1" applyAlignment="1">
      <alignment/>
    </xf>
    <xf numFmtId="0" fontId="9" fillId="0" borderId="1" xfId="0" applyFont="1" applyBorder="1" applyAlignment="1">
      <alignment/>
    </xf>
    <xf numFmtId="0" fontId="0" fillId="0" borderId="1" xfId="0" applyBorder="1" applyAlignment="1">
      <alignment/>
    </xf>
    <xf numFmtId="0" fontId="10" fillId="0" borderId="0" xfId="0" applyFont="1" applyAlignment="1">
      <alignment/>
    </xf>
    <xf numFmtId="0" fontId="0" fillId="7" borderId="0" xfId="0" applyFill="1" applyAlignment="1">
      <alignment/>
    </xf>
    <xf numFmtId="0" fontId="0" fillId="13" borderId="0" xfId="0" applyFill="1" applyAlignment="1">
      <alignment/>
    </xf>
    <xf numFmtId="0" fontId="0" fillId="8" borderId="0" xfId="0" applyFill="1" applyAlignment="1">
      <alignment/>
    </xf>
    <xf numFmtId="0" fontId="0" fillId="4" borderId="0" xfId="0" applyFill="1" applyAlignment="1">
      <alignment/>
    </xf>
    <xf numFmtId="0" fontId="0" fillId="5" borderId="0" xfId="0" applyFill="1" applyAlignment="1">
      <alignment/>
    </xf>
    <xf numFmtId="0" fontId="0" fillId="6" borderId="0" xfId="0" applyFill="1" applyAlignment="1">
      <alignment/>
    </xf>
    <xf numFmtId="0" fontId="0" fillId="9" borderId="0" xfId="0" applyFill="1" applyAlignment="1">
      <alignment/>
    </xf>
    <xf numFmtId="0" fontId="0" fillId="3" borderId="0" xfId="0" applyFill="1" applyAlignment="1">
      <alignment/>
    </xf>
    <xf numFmtId="0" fontId="0" fillId="0" borderId="0" xfId="0" applyAlignment="1">
      <alignment horizontal="right"/>
    </xf>
    <xf numFmtId="0" fontId="9" fillId="4" borderId="15" xfId="0" applyFont="1" applyFill="1" applyBorder="1" applyAlignment="1">
      <alignment horizontal="centerContinuous" vertical="center"/>
    </xf>
    <xf numFmtId="0" fontId="9" fillId="4" borderId="6" xfId="0" applyFont="1" applyFill="1" applyBorder="1" applyAlignment="1">
      <alignment horizontal="centerContinuous" vertical="center"/>
    </xf>
    <xf numFmtId="0" fontId="5" fillId="4" borderId="13" xfId="0" applyFont="1" applyFill="1" applyBorder="1" applyAlignment="1">
      <alignment horizontal="centerContinuous" vertical="center"/>
    </xf>
    <xf numFmtId="0" fontId="5" fillId="4" borderId="8" xfId="0" applyFont="1" applyFill="1" applyBorder="1" applyAlignment="1">
      <alignment horizontal="centerContinuous"/>
    </xf>
    <xf numFmtId="0" fontId="5" fillId="4" borderId="9" xfId="0" applyFont="1" applyFill="1" applyBorder="1" applyAlignment="1">
      <alignment horizontal="centerContinuous"/>
    </xf>
    <xf numFmtId="0" fontId="5" fillId="4" borderId="14" xfId="0" applyFont="1" applyFill="1" applyBorder="1" applyAlignment="1">
      <alignment horizontal="centerContinuous" vertical="center"/>
    </xf>
    <xf numFmtId="0" fontId="5" fillId="4" borderId="10" xfId="0" applyFont="1" applyFill="1" applyBorder="1" applyAlignment="1">
      <alignment horizontal="centerContinuous"/>
    </xf>
    <xf numFmtId="0" fontId="5" fillId="4" borderId="11" xfId="0" applyFont="1" applyFill="1" applyBorder="1" applyAlignment="1">
      <alignment horizontal="centerContinuous"/>
    </xf>
    <xf numFmtId="0" fontId="0" fillId="0" borderId="12" xfId="0" applyFont="1" applyBorder="1" applyAlignment="1">
      <alignment vertical="center" wrapText="1"/>
    </xf>
    <xf numFmtId="11" fontId="0" fillId="0" borderId="29" xfId="0" applyNumberFormat="1" applyFont="1" applyBorder="1" applyAlignment="1">
      <alignment/>
    </xf>
    <xf numFmtId="0" fontId="0" fillId="3" borderId="2" xfId="0" applyFont="1" applyFill="1" applyBorder="1" applyAlignment="1">
      <alignment vertical="center" wrapText="1"/>
    </xf>
    <xf numFmtId="0" fontId="0" fillId="0" borderId="2" xfId="0" applyFont="1" applyFill="1" applyBorder="1" applyAlignment="1">
      <alignment/>
    </xf>
    <xf numFmtId="0" fontId="0" fillId="0" borderId="2" xfId="0" applyFont="1" applyBorder="1" applyAlignment="1">
      <alignment vertical="center" wrapText="1"/>
    </xf>
    <xf numFmtId="0" fontId="0" fillId="0" borderId="2" xfId="0" applyFont="1" applyFill="1" applyBorder="1" applyAlignment="1">
      <alignment vertical="center" wrapText="1"/>
    </xf>
    <xf numFmtId="0" fontId="5" fillId="4" borderId="8" xfId="0" applyFont="1" applyFill="1" applyBorder="1" applyAlignment="1">
      <alignment horizontal="centerContinuous" vertical="center"/>
    </xf>
    <xf numFmtId="0" fontId="5" fillId="4" borderId="17" xfId="0" applyFont="1" applyFill="1" applyBorder="1" applyAlignment="1">
      <alignment horizontal="centerContinuous"/>
    </xf>
    <xf numFmtId="0" fontId="5" fillId="4" borderId="10" xfId="0" applyFont="1" applyFill="1" applyBorder="1" applyAlignment="1">
      <alignment horizontal="centerContinuous" vertical="center"/>
    </xf>
    <xf numFmtId="0" fontId="5" fillId="4" borderId="18" xfId="0" applyFont="1" applyFill="1" applyBorder="1" applyAlignment="1">
      <alignment horizontal="centerContinuous"/>
    </xf>
    <xf numFmtId="0" fontId="0" fillId="9" borderId="2" xfId="0" applyFont="1" applyFill="1" applyBorder="1" applyAlignment="1">
      <alignment/>
    </xf>
    <xf numFmtId="0" fontId="0" fillId="4" borderId="2" xfId="0" applyFont="1" applyFill="1" applyBorder="1" applyAlignment="1">
      <alignment horizontal="centerContinuous" wrapText="1"/>
    </xf>
    <xf numFmtId="0" fontId="0" fillId="0" borderId="2" xfId="0" applyNumberFormat="1" applyFont="1" applyFill="1" applyBorder="1" applyAlignment="1">
      <alignment/>
    </xf>
    <xf numFmtId="0" fontId="0" fillId="9" borderId="5" xfId="0" applyFont="1" applyFill="1" applyBorder="1" applyAlignment="1">
      <alignment horizontal="center"/>
    </xf>
    <xf numFmtId="0" fontId="9" fillId="4" borderId="13" xfId="0" applyFont="1" applyFill="1" applyBorder="1" applyAlignment="1">
      <alignment horizontal="centerContinuous" vertical="center"/>
    </xf>
    <xf numFmtId="0" fontId="0" fillId="0" borderId="14" xfId="0" applyFont="1" applyBorder="1" applyAlignment="1">
      <alignment/>
    </xf>
    <xf numFmtId="0" fontId="0" fillId="0" borderId="14" xfId="0" applyFont="1" applyBorder="1" applyAlignment="1">
      <alignment/>
    </xf>
    <xf numFmtId="0" fontId="0" fillId="0" borderId="9" xfId="0" applyFont="1" applyBorder="1" applyAlignment="1">
      <alignment/>
    </xf>
    <xf numFmtId="0" fontId="0" fillId="0" borderId="11" xfId="0" applyFont="1" applyBorder="1" applyAlignment="1">
      <alignment/>
    </xf>
    <xf numFmtId="0" fontId="0" fillId="13" borderId="2" xfId="0" applyFont="1" applyFill="1" applyBorder="1" applyAlignment="1">
      <alignment vertical="center" wrapText="1"/>
    </xf>
    <xf numFmtId="0" fontId="0" fillId="8" borderId="2" xfId="0" applyFont="1" applyFill="1" applyBorder="1" applyAlignment="1">
      <alignment vertical="center" wrapText="1"/>
    </xf>
    <xf numFmtId="0" fontId="0" fillId="0" borderId="13" xfId="0" applyFont="1" applyBorder="1" applyAlignment="1">
      <alignment/>
    </xf>
    <xf numFmtId="0" fontId="0" fillId="3" borderId="14" xfId="0" applyFont="1" applyFill="1" applyBorder="1" applyAlignment="1">
      <alignment vertical="center" wrapText="1"/>
    </xf>
    <xf numFmtId="170" fontId="0" fillId="0" borderId="14" xfId="0" applyNumberFormat="1" applyFont="1" applyBorder="1" applyAlignment="1">
      <alignment/>
    </xf>
    <xf numFmtId="0" fontId="0" fillId="0" borderId="6" xfId="0" applyFont="1" applyBorder="1" applyAlignment="1">
      <alignment vertical="center" wrapText="1"/>
    </xf>
    <xf numFmtId="0" fontId="0" fillId="0" borderId="15" xfId="0" applyFont="1" applyBorder="1" applyAlignment="1">
      <alignment/>
    </xf>
    <xf numFmtId="0" fontId="0" fillId="0" borderId="15" xfId="0" applyFont="1" applyBorder="1" applyAlignment="1">
      <alignment vertical="center" wrapText="1"/>
    </xf>
    <xf numFmtId="0" fontId="0" fillId="0" borderId="5" xfId="0" applyFont="1" applyBorder="1" applyAlignment="1">
      <alignment/>
    </xf>
    <xf numFmtId="0" fontId="4" fillId="2" borderId="0" xfId="0" applyFont="1" applyFill="1" applyBorder="1" applyAlignment="1">
      <alignment horizontal="center"/>
    </xf>
    <xf numFmtId="0" fontId="5" fillId="4" borderId="2" xfId="0" applyFont="1" applyFill="1" applyBorder="1" applyAlignment="1">
      <alignment horizontal="centerContinuous"/>
    </xf>
    <xf numFmtId="0" fontId="4" fillId="2" borderId="2" xfId="0" applyFont="1" applyFill="1" applyBorder="1" applyAlignment="1">
      <alignment/>
    </xf>
    <xf numFmtId="0" fontId="0" fillId="13" borderId="2" xfId="0" applyFont="1" applyFill="1" applyBorder="1" applyAlignment="1">
      <alignment wrapText="1"/>
    </xf>
    <xf numFmtId="0" fontId="0" fillId="4" borderId="2" xfId="0" applyFont="1" applyFill="1" applyBorder="1" applyAlignment="1">
      <alignment wrapText="1"/>
    </xf>
    <xf numFmtId="0" fontId="0" fillId="3" borderId="2" xfId="0" applyFont="1" applyFill="1" applyBorder="1" applyAlignment="1">
      <alignment wrapText="1"/>
    </xf>
    <xf numFmtId="0" fontId="0" fillId="4" borderId="2" xfId="0" applyFont="1" applyFill="1" applyBorder="1" applyAlignment="1">
      <alignment vertical="center" wrapText="1"/>
    </xf>
    <xf numFmtId="0" fontId="0" fillId="3" borderId="13" xfId="0" applyFont="1" applyFill="1" applyBorder="1" applyAlignment="1">
      <alignment wrapText="1"/>
    </xf>
    <xf numFmtId="170" fontId="0" fillId="0" borderId="13" xfId="0" applyNumberFormat="1" applyFont="1" applyFill="1" applyBorder="1" applyAlignment="1">
      <alignment/>
    </xf>
    <xf numFmtId="0" fontId="0" fillId="5" borderId="14" xfId="0" applyFont="1" applyFill="1" applyBorder="1" applyAlignment="1">
      <alignment vertical="center" wrapText="1"/>
    </xf>
    <xf numFmtId="0" fontId="0" fillId="0" borderId="15" xfId="0" applyFont="1" applyFill="1" applyBorder="1" applyAlignment="1">
      <alignment/>
    </xf>
    <xf numFmtId="0" fontId="4" fillId="2" borderId="14" xfId="0" applyFont="1" applyFill="1" applyBorder="1" applyAlignment="1">
      <alignment/>
    </xf>
    <xf numFmtId="0" fontId="0" fillId="0" borderId="0" xfId="0" applyFont="1" applyAlignment="1">
      <alignment/>
    </xf>
    <xf numFmtId="0" fontId="0" fillId="0" borderId="6" xfId="0" applyFont="1" applyBorder="1" applyAlignment="1">
      <alignment wrapText="1"/>
    </xf>
    <xf numFmtId="0" fontId="0" fillId="0" borderId="6" xfId="0" applyFont="1" applyBorder="1" applyAlignment="1">
      <alignment/>
    </xf>
    <xf numFmtId="0" fontId="5" fillId="4" borderId="6" xfId="0" applyFont="1" applyFill="1" applyBorder="1" applyAlignment="1">
      <alignment horizontal="centerContinuous"/>
    </xf>
    <xf numFmtId="0" fontId="9" fillId="0" borderId="0" xfId="0" applyFont="1" applyBorder="1" applyAlignment="1">
      <alignment/>
    </xf>
    <xf numFmtId="0" fontId="0" fillId="0" borderId="0" xfId="0" applyBorder="1" applyAlignment="1">
      <alignment/>
    </xf>
    <xf numFmtId="0" fontId="0" fillId="0" borderId="6" xfId="0" applyFont="1" applyBorder="1" applyAlignment="1">
      <alignment horizontal="center"/>
    </xf>
    <xf numFmtId="0" fontId="0" fillId="0" borderId="15" xfId="0" applyFont="1" applyBorder="1" applyAlignment="1">
      <alignment horizontal="center"/>
    </xf>
    <xf numFmtId="0" fontId="15" fillId="0" borderId="0" xfId="0" applyFont="1" applyBorder="1" applyAlignment="1">
      <alignment horizontal="left" wrapText="1"/>
    </xf>
    <xf numFmtId="0" fontId="0" fillId="0" borderId="16" xfId="0" applyFont="1" applyFill="1" applyBorder="1" applyAlignment="1">
      <alignment wrapText="1"/>
    </xf>
    <xf numFmtId="0" fontId="0" fillId="0" borderId="16" xfId="0" applyFont="1" applyBorder="1" applyAlignment="1">
      <alignment wrapText="1"/>
    </xf>
    <xf numFmtId="0" fontId="0" fillId="0" borderId="0" xfId="0" applyFont="1" applyAlignment="1">
      <alignment vertical="center" wrapText="1"/>
    </xf>
    <xf numFmtId="0" fontId="0" fillId="0" borderId="0" xfId="0" applyAlignment="1">
      <alignment vertical="center" wrapText="1"/>
    </xf>
    <xf numFmtId="0" fontId="0" fillId="0" borderId="13" xfId="0" applyFont="1" applyBorder="1" applyAlignment="1">
      <alignment horizontal="left" wrapText="1"/>
    </xf>
    <xf numFmtId="0" fontId="0" fillId="0" borderId="30" xfId="0" applyFont="1" applyBorder="1" applyAlignment="1">
      <alignment horizontal="left" wrapText="1"/>
    </xf>
    <xf numFmtId="0" fontId="0" fillId="0" borderId="14" xfId="0" applyFont="1" applyBorder="1" applyAlignment="1">
      <alignment horizontal="left" wrapText="1"/>
    </xf>
    <xf numFmtId="0" fontId="0" fillId="0" borderId="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 xfId="0" applyFont="1" applyFill="1" applyBorder="1" applyAlignment="1">
      <alignment horizontal="center" wrapText="1"/>
    </xf>
    <xf numFmtId="0" fontId="0" fillId="0" borderId="2" xfId="0" applyFont="1" applyBorder="1" applyAlignment="1">
      <alignment vertical="center" wrapText="1"/>
    </xf>
    <xf numFmtId="0" fontId="0" fillId="0" borderId="2" xfId="0" applyBorder="1" applyAlignment="1">
      <alignment vertical="center" wrapText="1"/>
    </xf>
    <xf numFmtId="0" fontId="0" fillId="0" borderId="13"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4" xfId="0" applyFont="1" applyBorder="1" applyAlignment="1">
      <alignment horizontal="center" vertical="center" wrapText="1"/>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0" fontId="0" fillId="0" borderId="13" xfId="0" applyFont="1" applyBorder="1" applyAlignment="1">
      <alignment horizontal="center" vertical="center" textRotation="90"/>
    </xf>
    <xf numFmtId="0" fontId="0" fillId="0" borderId="30" xfId="0" applyFont="1" applyBorder="1" applyAlignment="1">
      <alignment horizontal="center" vertical="center" textRotation="90"/>
    </xf>
    <xf numFmtId="0" fontId="0" fillId="0" borderId="14" xfId="0" applyFont="1" applyBorder="1" applyAlignment="1">
      <alignment horizontal="center" vertical="center" textRotation="90"/>
    </xf>
    <xf numFmtId="0" fontId="0" fillId="0" borderId="2" xfId="0" applyFont="1" applyFill="1" applyBorder="1" applyAlignment="1">
      <alignment horizontal="center" vertical="center" wrapText="1"/>
    </xf>
    <xf numFmtId="0" fontId="0" fillId="0" borderId="2" xfId="0" applyFont="1" applyFill="1" applyBorder="1" applyAlignment="1">
      <alignment vertical="center" wrapText="1"/>
    </xf>
    <xf numFmtId="0" fontId="0" fillId="0" borderId="2" xfId="0" applyFont="1" applyBorder="1" applyAlignment="1">
      <alignment horizontal="center" vertical="center" wrapText="1"/>
    </xf>
    <xf numFmtId="0" fontId="0" fillId="0" borderId="14" xfId="0" applyFont="1" applyBorder="1" applyAlignment="1">
      <alignment horizontal="center" wrapText="1"/>
    </xf>
    <xf numFmtId="0" fontId="0" fillId="0" borderId="5" xfId="0" applyFont="1" applyBorder="1" applyAlignment="1">
      <alignment horizontal="center"/>
    </xf>
    <xf numFmtId="0" fontId="5" fillId="4" borderId="13" xfId="0" applyFont="1" applyFill="1" applyBorder="1" applyAlignment="1">
      <alignment horizontal="center" vertical="center"/>
    </xf>
    <xf numFmtId="0" fontId="5" fillId="4" borderId="14" xfId="0" applyFont="1" applyFill="1" applyBorder="1" applyAlignment="1">
      <alignment horizontal="center" vertical="center"/>
    </xf>
    <xf numFmtId="0" fontId="4" fillId="2" borderId="14" xfId="0" applyFont="1" applyFill="1" applyBorder="1" applyAlignment="1">
      <alignment horizontal="center"/>
    </xf>
    <xf numFmtId="0" fontId="0" fillId="0" borderId="2" xfId="0" applyFont="1" applyBorder="1" applyAlignment="1">
      <alignment horizontal="center" wrapText="1"/>
    </xf>
    <xf numFmtId="0" fontId="0" fillId="0" borderId="2" xfId="0" applyFont="1" applyBorder="1" applyAlignment="1">
      <alignment wrapText="1"/>
    </xf>
    <xf numFmtId="0" fontId="0" fillId="0" borderId="2" xfId="0"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manualLayout>
          <c:xMode val="edge"/>
          <c:yMode val="edge"/>
          <c:x val="0.00975"/>
          <c:y val="0.10475"/>
          <c:w val="0.88"/>
          <c:h val="0.87275"/>
        </c:manualLayout>
      </c:layout>
      <c:barChart>
        <c:barDir val="col"/>
        <c:grouping val="clustered"/>
        <c:varyColors val="0"/>
        <c:ser>
          <c:idx val="0"/>
          <c:order val="0"/>
          <c:tx>
            <c:v>Withdrawal, Low</c:v>
          </c:tx>
          <c:invertIfNegative val="0"/>
          <c:extLst>
            <c:ext xmlns:c14="http://schemas.microsoft.com/office/drawing/2007/8/2/chart" uri="{6F2FDCE9-48DA-4B69-8628-5D25D57E5C99}">
              <c14:invertSolidFillFmt>
                <c14:spPr>
                  <a:solidFill>
                    <a:srgbClr val="000000"/>
                  </a:solidFill>
                </c14:spPr>
              </c14:invertSolidFillFmt>
            </c:ext>
          </c:extLst>
          <c:val>
            <c:numRef>
              <c:f>(#REF!,#REF!,#REF!,#REF!,#REF!)</c:f>
              <c:numCache>
                <c:ptCount val="1"/>
                <c:pt idx="0">
                  <c:v>1</c:v>
                </c:pt>
              </c:numCache>
            </c:numRef>
          </c:val>
        </c:ser>
        <c:axId val="13146175"/>
        <c:axId val="51206712"/>
      </c:barChart>
      <c:catAx>
        <c:axId val="13146175"/>
        <c:scaling>
          <c:orientation val="minMax"/>
        </c:scaling>
        <c:axPos val="b"/>
        <c:delete val="0"/>
        <c:numFmt formatCode="General" sourceLinked="1"/>
        <c:majorTickMark val="out"/>
        <c:minorTickMark val="none"/>
        <c:tickLblPos val="nextTo"/>
        <c:crossAx val="51206712"/>
        <c:crosses val="autoZero"/>
        <c:auto val="1"/>
        <c:lblOffset val="100"/>
        <c:noMultiLvlLbl val="0"/>
      </c:catAx>
      <c:valAx>
        <c:axId val="51206712"/>
        <c:scaling>
          <c:orientation val="minMax"/>
        </c:scaling>
        <c:axPos val="l"/>
        <c:majorGridlines/>
        <c:delete val="0"/>
        <c:numFmt formatCode="General" sourceLinked="1"/>
        <c:majorTickMark val="out"/>
        <c:minorTickMark val="none"/>
        <c:tickLblPos val="nextTo"/>
        <c:crossAx val="13146175"/>
        <c:crossesAt val="1"/>
        <c:crossBetween val="between"/>
        <c:dispUnits/>
      </c:valAx>
      <c:spPr>
        <a:solidFill>
          <a:srgbClr val="C0C0C0"/>
        </a:solidFill>
        <a:ln w="12700">
          <a:solidFill>
            <a:srgbClr val="808080"/>
          </a:solidFill>
        </a:ln>
      </c:spPr>
    </c:plotArea>
    <c:legend>
      <c:legendPos val="r"/>
      <c:layout>
        <c:manualLayout>
          <c:xMode val="edge"/>
          <c:yMode val="edge"/>
          <c:x val="0.85725"/>
          <c:y val="0.464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Water Requirements, Coal</a:t>
            </a:r>
          </a:p>
        </c:rich>
      </c:tx>
      <c:layout/>
      <c:spPr>
        <a:noFill/>
        <a:ln>
          <a:noFill/>
        </a:ln>
      </c:spPr>
    </c:title>
    <c:plotArea>
      <c:layout/>
      <c:barChart>
        <c:barDir val="col"/>
        <c:grouping val="clustered"/>
        <c:varyColors val="0"/>
        <c:ser>
          <c:idx val="0"/>
          <c:order val="0"/>
          <c:tx>
            <c:v>Withdrawal, Low</c:v>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(#REF!,#REF!,#REF!,#REF!)</c:f>
              <c:numCache>
                <c:ptCount val="1"/>
                <c:pt idx="0">
                  <c:v>1</c:v>
                </c:pt>
              </c:numCache>
            </c:numRef>
          </c:val>
        </c:ser>
        <c:ser>
          <c:idx val="1"/>
          <c:order val="1"/>
          <c:tx>
            <c:v>Withdrawal, High</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(#REF!,#REF!,#REF!,#REF!)</c:f>
              <c:numCache>
                <c:ptCount val="1"/>
                <c:pt idx="0">
                  <c:v>1</c:v>
                </c:pt>
              </c:numCache>
            </c:numRef>
          </c:val>
        </c:ser>
        <c:ser>
          <c:idx val="2"/>
          <c:order val="2"/>
          <c:tx>
            <c:v>Consumption, Low</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(#REF!,#REF!,#REF!,#REF!)</c:f>
              <c:numCache>
                <c:ptCount val="1"/>
                <c:pt idx="0">
                  <c:v>1</c:v>
                </c:pt>
              </c:numCache>
            </c:numRef>
          </c:val>
        </c:ser>
        <c:ser>
          <c:idx val="3"/>
          <c:order val="3"/>
          <c:tx>
            <c:v>Consumption, High</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(#REF!,#REF!,#REF!,#REF!)</c:f>
              <c:numCache>
                <c:ptCount val="1"/>
                <c:pt idx="0">
                  <c:v>1</c:v>
                </c:pt>
              </c:numCache>
            </c:numRef>
          </c:val>
        </c:ser>
        <c:axId val="58207225"/>
        <c:axId val="54102978"/>
      </c:barChart>
      <c:catAx>
        <c:axId val="58207225"/>
        <c:scaling>
          <c:orientation val="minMax"/>
        </c:scaling>
        <c:axPos val="b"/>
        <c:delete val="0"/>
        <c:numFmt formatCode="General" sourceLinked="1"/>
        <c:majorTickMark val="out"/>
        <c:minorTickMark val="none"/>
        <c:tickLblPos val="nextTo"/>
        <c:crossAx val="54102978"/>
        <c:crosses val="autoZero"/>
        <c:auto val="1"/>
        <c:lblOffset val="100"/>
        <c:noMultiLvlLbl val="0"/>
      </c:catAx>
      <c:valAx>
        <c:axId val="54102978"/>
        <c:scaling>
          <c:orientation val="minMax"/>
          <c:max val="200"/>
        </c:scaling>
        <c:axPos val="l"/>
        <c:title>
          <c:tx>
            <c:rich>
              <a:bodyPr vert="horz" rot="-5400000" anchor="ctr"/>
              <a:lstStyle/>
              <a:p>
                <a:pPr algn="ctr">
                  <a:defRPr/>
                </a:pPr>
                <a:r>
                  <a:rPr lang="en-US" cap="none" sz="800" b="1" i="0" u="none" baseline="0">
                    <a:latin typeface="Arial"/>
                    <a:ea typeface="Arial"/>
                    <a:cs typeface="Arial"/>
                  </a:rPr>
                  <a:t>Water Required (m</a:t>
                </a:r>
                <a:r>
                  <a:rPr lang="en-US" cap="none" sz="800" b="1" i="0" u="none" baseline="30000">
                    <a:latin typeface="Arial"/>
                    <a:ea typeface="Arial"/>
                    <a:cs typeface="Arial"/>
                  </a:rPr>
                  <a:t>3</a:t>
                </a:r>
                <a:r>
                  <a:rPr lang="en-US" cap="none" sz="800" b="1" i="0" u="none" baseline="0">
                    <a:latin typeface="Arial"/>
                    <a:ea typeface="Arial"/>
                    <a:cs typeface="Arial"/>
                  </a:rPr>
                  <a:t>/MWh)</a:t>
                </a:r>
              </a:p>
            </c:rich>
          </c:tx>
          <c:layout/>
          <c:overlay val="0"/>
          <c:spPr>
            <a:noFill/>
            <a:ln>
              <a:noFill/>
            </a:ln>
          </c:spPr>
        </c:title>
        <c:majorGridlines/>
        <c:delete val="0"/>
        <c:numFmt formatCode="0" sourceLinked="0"/>
        <c:majorTickMark val="out"/>
        <c:minorTickMark val="none"/>
        <c:tickLblPos val="nextTo"/>
        <c:crossAx val="58207225"/>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barChart>
        <c:barDir val="col"/>
        <c:grouping val="clustered"/>
        <c:varyColors val="0"/>
        <c:ser>
          <c:idx val="0"/>
          <c:order val="0"/>
          <c:tx>
            <c:v>Withdrawal, Low</c:v>
          </c:tx>
          <c:invertIfNegative val="0"/>
          <c:extLst>
            <c:ext xmlns:c14="http://schemas.microsoft.com/office/drawing/2007/8/2/chart" uri="{6F2FDCE9-48DA-4B69-8628-5D25D57E5C99}">
              <c14:invertSolidFillFmt>
                <c14:spPr>
                  <a:solidFill>
                    <a:srgbClr val="000000"/>
                  </a:solidFill>
                </c14:spPr>
              </c14:invertSolidFillFmt>
            </c:ext>
          </c:extLst>
          <c:val>
            <c:numRef>
              <c:f>(#REF!,#REF!,#REF!,#REF!,#REF!)</c:f>
              <c:numCache>
                <c:ptCount val="1"/>
                <c:pt idx="0">
                  <c:v>1</c:v>
                </c:pt>
              </c:numCache>
            </c:numRef>
          </c:val>
        </c:ser>
        <c:axId val="17164755"/>
        <c:axId val="20265068"/>
      </c:barChart>
      <c:catAx>
        <c:axId val="17164755"/>
        <c:scaling>
          <c:orientation val="minMax"/>
        </c:scaling>
        <c:axPos val="b"/>
        <c:delete val="0"/>
        <c:numFmt formatCode="General" sourceLinked="1"/>
        <c:majorTickMark val="out"/>
        <c:minorTickMark val="none"/>
        <c:tickLblPos val="nextTo"/>
        <c:crossAx val="20265068"/>
        <c:crosses val="autoZero"/>
        <c:auto val="1"/>
        <c:lblOffset val="100"/>
        <c:noMultiLvlLbl val="0"/>
      </c:catAx>
      <c:valAx>
        <c:axId val="20265068"/>
        <c:scaling>
          <c:orientation val="minMax"/>
        </c:scaling>
        <c:axPos val="l"/>
        <c:majorGridlines/>
        <c:delete val="0"/>
        <c:numFmt formatCode="General" sourceLinked="1"/>
        <c:majorTickMark val="out"/>
        <c:minorTickMark val="none"/>
        <c:tickLblPos val="nextTo"/>
        <c:crossAx val="1716475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32</xdr:row>
      <xdr:rowOff>152400</xdr:rowOff>
    </xdr:from>
    <xdr:to>
      <xdr:col>17</xdr:col>
      <xdr:colOff>66675</xdr:colOff>
      <xdr:row>53</xdr:row>
      <xdr:rowOff>114300</xdr:rowOff>
    </xdr:to>
    <xdr:graphicFrame>
      <xdr:nvGraphicFramePr>
        <xdr:cNvPr id="1" name="Chart 2"/>
        <xdr:cNvGraphicFramePr/>
      </xdr:nvGraphicFramePr>
      <xdr:xfrm>
        <a:off x="7296150" y="10086975"/>
        <a:ext cx="7743825" cy="339090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71</xdr:row>
      <xdr:rowOff>28575</xdr:rowOff>
    </xdr:from>
    <xdr:to>
      <xdr:col>16</xdr:col>
      <xdr:colOff>295275</xdr:colOff>
      <xdr:row>91</xdr:row>
      <xdr:rowOff>104775</xdr:rowOff>
    </xdr:to>
    <xdr:graphicFrame>
      <xdr:nvGraphicFramePr>
        <xdr:cNvPr id="2" name="Chart 3"/>
        <xdr:cNvGraphicFramePr/>
      </xdr:nvGraphicFramePr>
      <xdr:xfrm>
        <a:off x="7296150" y="16306800"/>
        <a:ext cx="7362825" cy="3314700"/>
      </xdr:xfrm>
      <a:graphic>
        <a:graphicData uri="http://schemas.openxmlformats.org/drawingml/2006/chart">
          <c:chart xmlns:c="http://schemas.openxmlformats.org/drawingml/2006/chart" r:id="rId2"/>
        </a:graphicData>
      </a:graphic>
    </xdr:graphicFrame>
    <xdr:clientData/>
  </xdr:twoCellAnchor>
  <xdr:twoCellAnchor>
    <xdr:from>
      <xdr:col>12</xdr:col>
      <xdr:colOff>438150</xdr:colOff>
      <xdr:row>13</xdr:row>
      <xdr:rowOff>85725</xdr:rowOff>
    </xdr:from>
    <xdr:to>
      <xdr:col>13</xdr:col>
      <xdr:colOff>495300</xdr:colOff>
      <xdr:row>16</xdr:row>
      <xdr:rowOff>38100</xdr:rowOff>
    </xdr:to>
    <xdr:graphicFrame>
      <xdr:nvGraphicFramePr>
        <xdr:cNvPr id="3" name="Chart 4"/>
        <xdr:cNvGraphicFramePr/>
      </xdr:nvGraphicFramePr>
      <xdr:xfrm>
        <a:off x="12363450" y="3981450"/>
        <a:ext cx="666750" cy="4381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hyperlink" Target="http://www.netl.doe.gov/technologies/coalpower/ewr/pubs/Estimating%20Freshwater%20Needs%20to%202025.pdf"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20"/>
  <sheetViews>
    <sheetView workbookViewId="0" topLeftCell="A4">
      <selection activeCell="D10" sqref="D10"/>
    </sheetView>
  </sheetViews>
  <sheetFormatPr defaultColWidth="9.140625" defaultRowHeight="12.75"/>
  <cols>
    <col min="1" max="1" width="12.8515625" style="0" customWidth="1"/>
  </cols>
  <sheetData>
    <row r="1" s="140" customFormat="1" ht="18.75" thickBot="1">
      <c r="A1" s="139" t="s">
        <v>428</v>
      </c>
    </row>
    <row r="2" s="204" customFormat="1" ht="18">
      <c r="A2" s="203"/>
    </row>
    <row r="3" spans="1:10" s="204" customFormat="1" ht="15" customHeight="1">
      <c r="A3" s="207" t="s">
        <v>445</v>
      </c>
      <c r="B3" s="207"/>
      <c r="C3" s="207"/>
      <c r="D3" s="207"/>
      <c r="E3" s="207"/>
      <c r="F3" s="207"/>
      <c r="G3" s="207"/>
      <c r="H3" s="207"/>
      <c r="I3" s="207"/>
      <c r="J3" s="207"/>
    </row>
    <row r="4" spans="1:10" s="204" customFormat="1" ht="37.5" customHeight="1">
      <c r="A4" s="207"/>
      <c r="B4" s="207"/>
      <c r="C4" s="207"/>
      <c r="D4" s="207"/>
      <c r="E4" s="207"/>
      <c r="F4" s="207"/>
      <c r="G4" s="207"/>
      <c r="H4" s="207"/>
      <c r="I4" s="207"/>
      <c r="J4" s="207"/>
    </row>
    <row r="6" ht="15.75">
      <c r="A6" s="141" t="s">
        <v>429</v>
      </c>
    </row>
    <row r="7" ht="12.75">
      <c r="A7" s="142" t="s">
        <v>430</v>
      </c>
    </row>
    <row r="8" ht="12.75">
      <c r="A8" s="143" t="s">
        <v>431</v>
      </c>
    </row>
    <row r="9" ht="12.75">
      <c r="A9" s="144" t="s">
        <v>432</v>
      </c>
    </row>
    <row r="10" ht="12.75">
      <c r="A10" s="145" t="s">
        <v>49</v>
      </c>
    </row>
    <row r="11" ht="12.75">
      <c r="A11" s="146" t="s">
        <v>433</v>
      </c>
    </row>
    <row r="12" ht="12.75">
      <c r="A12" s="147" t="s">
        <v>434</v>
      </c>
    </row>
    <row r="13" ht="12.75">
      <c r="A13" s="148" t="s">
        <v>435</v>
      </c>
    </row>
    <row r="14" ht="12.75">
      <c r="A14" s="149" t="s">
        <v>278</v>
      </c>
    </row>
    <row r="16" ht="15.75">
      <c r="A16" s="141" t="s">
        <v>436</v>
      </c>
    </row>
    <row r="17" spans="1:2" ht="12.75">
      <c r="A17" s="150" t="s">
        <v>437</v>
      </c>
      <c r="B17" t="s">
        <v>56</v>
      </c>
    </row>
    <row r="18" spans="1:2" ht="12.75">
      <c r="A18" s="150" t="s">
        <v>438</v>
      </c>
      <c r="B18" t="s">
        <v>57</v>
      </c>
    </row>
    <row r="19" spans="1:2" ht="12.75">
      <c r="A19" s="150" t="s">
        <v>439</v>
      </c>
      <c r="B19" t="s">
        <v>440</v>
      </c>
    </row>
    <row r="20" spans="1:2" ht="12.75">
      <c r="A20" s="150" t="s">
        <v>441</v>
      </c>
      <c r="B20" t="s">
        <v>442</v>
      </c>
    </row>
  </sheetData>
  <mergeCells count="1">
    <mergeCell ref="A3:J4"/>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H14"/>
  <sheetViews>
    <sheetView workbookViewId="0" topLeftCell="A1">
      <selection activeCell="B4" sqref="B4:H8"/>
    </sheetView>
  </sheetViews>
  <sheetFormatPr defaultColWidth="9.140625" defaultRowHeight="12.75"/>
  <cols>
    <col min="1" max="1" width="2.00390625" style="41" bestFit="1" customWidth="1"/>
    <col min="2" max="2" width="30.140625" style="41" customWidth="1"/>
    <col min="3" max="3" width="6.57421875" style="41" bestFit="1" customWidth="1"/>
    <col min="4" max="4" width="8.00390625" style="41" bestFit="1" customWidth="1"/>
    <col min="5" max="5" width="6.57421875" style="41" bestFit="1" customWidth="1"/>
    <col min="6" max="6" width="8.00390625" style="41" bestFit="1" customWidth="1"/>
    <col min="7" max="7" width="34.00390625" style="41" customWidth="1"/>
    <col min="8" max="8" width="29.421875" style="41" customWidth="1"/>
    <col min="9" max="16384" width="9.140625" style="41" customWidth="1"/>
  </cols>
  <sheetData>
    <row r="1" ht="12.75">
      <c r="B1" s="4" t="s">
        <v>94</v>
      </c>
    </row>
    <row r="2" ht="12.75">
      <c r="B2" s="4" t="s">
        <v>55</v>
      </c>
    </row>
    <row r="4" spans="2:6" ht="12.75">
      <c r="B4" s="153" t="s">
        <v>95</v>
      </c>
      <c r="C4" s="154" t="s">
        <v>56</v>
      </c>
      <c r="D4" s="155"/>
      <c r="E4" s="154" t="s">
        <v>57</v>
      </c>
      <c r="F4" s="155"/>
    </row>
    <row r="5" spans="2:6" ht="13.5" thickBot="1">
      <c r="B5" s="156"/>
      <c r="C5" s="157" t="s">
        <v>48</v>
      </c>
      <c r="D5" s="158"/>
      <c r="E5" s="157" t="s">
        <v>48</v>
      </c>
      <c r="F5" s="158"/>
    </row>
    <row r="6" spans="2:8" ht="12.75">
      <c r="B6" s="11" t="s">
        <v>2</v>
      </c>
      <c r="C6" s="3" t="s">
        <v>0</v>
      </c>
      <c r="D6" s="3" t="s">
        <v>1</v>
      </c>
      <c r="E6" s="3" t="s">
        <v>0</v>
      </c>
      <c r="F6" s="12" t="s">
        <v>1</v>
      </c>
      <c r="G6" s="3" t="s">
        <v>53</v>
      </c>
      <c r="H6" s="3" t="s">
        <v>88</v>
      </c>
    </row>
    <row r="7" spans="2:8" ht="38.25">
      <c r="B7" s="31" t="s">
        <v>92</v>
      </c>
      <c r="C7" s="32">
        <v>0</v>
      </c>
      <c r="D7" s="32">
        <v>0.00379</v>
      </c>
      <c r="E7" s="32">
        <v>0</v>
      </c>
      <c r="F7" s="32">
        <v>0.00379</v>
      </c>
      <c r="G7" s="20" t="s">
        <v>99</v>
      </c>
      <c r="H7" s="20" t="s">
        <v>350</v>
      </c>
    </row>
    <row r="8" spans="2:8" ht="114.75">
      <c r="B8" s="31" t="s">
        <v>93</v>
      </c>
      <c r="C8" s="32">
        <v>0</v>
      </c>
      <c r="D8" s="32">
        <v>0.00247</v>
      </c>
      <c r="E8" s="32">
        <v>0</v>
      </c>
      <c r="F8" s="32">
        <v>0.00247</v>
      </c>
      <c r="G8" s="20" t="s">
        <v>100</v>
      </c>
      <c r="H8" s="20" t="s">
        <v>349</v>
      </c>
    </row>
    <row r="10" spans="2:6" ht="18">
      <c r="B10" s="152" t="s">
        <v>96</v>
      </c>
      <c r="C10" s="101"/>
      <c r="D10" s="101"/>
      <c r="E10" s="101"/>
      <c r="F10" s="102"/>
    </row>
    <row r="11" spans="1:6" ht="51">
      <c r="A11" s="68"/>
      <c r="C11" s="69" t="s">
        <v>42</v>
      </c>
      <c r="D11" s="70"/>
      <c r="E11" s="71" t="s">
        <v>43</v>
      </c>
      <c r="F11" s="70"/>
    </row>
    <row r="12" spans="1:6" ht="12.75">
      <c r="A12" s="72"/>
      <c r="C12" s="73" t="s">
        <v>0</v>
      </c>
      <c r="D12" s="73" t="s">
        <v>1</v>
      </c>
      <c r="E12" s="73" t="s">
        <v>0</v>
      </c>
      <c r="F12" s="73" t="s">
        <v>1</v>
      </c>
    </row>
    <row r="13" spans="1:6" ht="12.75">
      <c r="A13" s="32">
        <v>1</v>
      </c>
      <c r="B13" s="74" t="s">
        <v>97</v>
      </c>
      <c r="C13" s="15">
        <f>C7</f>
        <v>0</v>
      </c>
      <c r="D13" s="15">
        <f aca="true" t="shared" si="0" ref="D13:F14">D7</f>
        <v>0.00379</v>
      </c>
      <c r="E13" s="15">
        <f t="shared" si="0"/>
        <v>0</v>
      </c>
      <c r="F13" s="15">
        <f t="shared" si="0"/>
        <v>0.00379</v>
      </c>
    </row>
    <row r="14" spans="1:6" ht="12.75">
      <c r="A14" s="32">
        <v>2</v>
      </c>
      <c r="B14" s="74" t="s">
        <v>98</v>
      </c>
      <c r="C14" s="15">
        <f>C8</f>
        <v>0</v>
      </c>
      <c r="D14" s="15">
        <f t="shared" si="0"/>
        <v>0.00247</v>
      </c>
      <c r="E14" s="15">
        <f t="shared" si="0"/>
        <v>0</v>
      </c>
      <c r="F14" s="15">
        <f t="shared" si="0"/>
        <v>0.00247</v>
      </c>
    </row>
  </sheetData>
  <printOptions/>
  <pageMargins left="0.75" right="0.75" top="1" bottom="1" header="0.5" footer="0.5"/>
  <pageSetup fitToHeight="5" fitToWidth="1"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M33"/>
  <sheetViews>
    <sheetView workbookViewId="0" topLeftCell="A1">
      <selection activeCell="G7" sqref="G7"/>
    </sheetView>
  </sheetViews>
  <sheetFormatPr defaultColWidth="9.140625" defaultRowHeight="12.75"/>
  <cols>
    <col min="1" max="1" width="9.140625" style="41" customWidth="1"/>
    <col min="2" max="2" width="12.7109375" style="41" customWidth="1"/>
    <col min="3" max="3" width="9.140625" style="41" customWidth="1"/>
    <col min="4" max="4" width="11.421875" style="41" bestFit="1" customWidth="1"/>
    <col min="5" max="9" width="9.140625" style="41" customWidth="1"/>
    <col min="10" max="10" width="9.8515625" style="41" customWidth="1"/>
    <col min="11" max="11" width="9.140625" style="41" customWidth="1"/>
    <col min="12" max="12" width="11.00390625" style="41" bestFit="1" customWidth="1"/>
    <col min="13" max="13" width="12.00390625" style="41" bestFit="1" customWidth="1"/>
    <col min="14" max="16384" width="9.140625" style="41" customWidth="1"/>
  </cols>
  <sheetData>
    <row r="1" ht="12.75">
      <c r="A1" s="4" t="s">
        <v>6</v>
      </c>
    </row>
    <row r="2" ht="12.75"/>
    <row r="3" ht="12.75">
      <c r="A3" s="5" t="s">
        <v>7</v>
      </c>
    </row>
    <row r="4" ht="12.75">
      <c r="A4" s="5"/>
    </row>
    <row r="5" spans="1:11" ht="12.75">
      <c r="A5" s="6" t="s">
        <v>8</v>
      </c>
      <c r="B5" s="56"/>
      <c r="I5" s="7" t="s">
        <v>9</v>
      </c>
      <c r="J5" s="57"/>
      <c r="K5" s="57"/>
    </row>
    <row r="6" ht="13.5" thickBot="1"/>
    <row r="7" spans="1:13" ht="13.5" thickBot="1">
      <c r="A7" s="58">
        <v>130</v>
      </c>
      <c r="B7" s="41" t="s">
        <v>10</v>
      </c>
      <c r="C7" s="41" t="s">
        <v>11</v>
      </c>
      <c r="D7" s="58">
        <f>A7/L18*1000</f>
        <v>492.0514761544285</v>
      </c>
      <c r="E7" s="41" t="s">
        <v>48</v>
      </c>
      <c r="I7" s="41">
        <v>1</v>
      </c>
      <c r="J7" s="41" t="s">
        <v>13</v>
      </c>
      <c r="K7" s="41" t="s">
        <v>11</v>
      </c>
      <c r="L7" s="59">
        <v>1000</v>
      </c>
      <c r="M7" s="41" t="s">
        <v>14</v>
      </c>
    </row>
    <row r="8" spans="8:13" ht="13.5" thickBot="1">
      <c r="H8" s="8" t="s">
        <v>15</v>
      </c>
      <c r="I8" s="60"/>
      <c r="J8" s="60"/>
      <c r="K8" s="60"/>
      <c r="L8" s="61"/>
      <c r="M8" s="60"/>
    </row>
    <row r="9" spans="1:13" ht="13.5" thickBot="1">
      <c r="A9" s="58">
        <v>65</v>
      </c>
      <c r="B9" s="41" t="s">
        <v>16</v>
      </c>
      <c r="C9" s="41" t="s">
        <v>11</v>
      </c>
      <c r="D9" s="62">
        <f>A9/L18</f>
        <v>0.24602573807721423</v>
      </c>
      <c r="E9" s="41" t="s">
        <v>48</v>
      </c>
      <c r="I9" s="41">
        <v>1</v>
      </c>
      <c r="J9" s="41" t="s">
        <v>17</v>
      </c>
      <c r="K9" s="41" t="s">
        <v>11</v>
      </c>
      <c r="L9" s="63">
        <v>3600000</v>
      </c>
      <c r="M9" s="41" t="s">
        <v>18</v>
      </c>
    </row>
    <row r="10" spans="9:13" ht="13.5" thickBot="1">
      <c r="I10" s="64">
        <v>1000000000000</v>
      </c>
      <c r="J10" s="41" t="s">
        <v>19</v>
      </c>
      <c r="K10" s="41" t="s">
        <v>11</v>
      </c>
      <c r="L10" s="64">
        <f>I10/L9</f>
        <v>277777.77777777775</v>
      </c>
      <c r="M10" s="41" t="s">
        <v>17</v>
      </c>
    </row>
    <row r="11" spans="1:13" ht="13.5" thickBot="1">
      <c r="A11" s="58">
        <v>54</v>
      </c>
      <c r="B11" s="41" t="s">
        <v>20</v>
      </c>
      <c r="C11" s="41" t="s">
        <v>11</v>
      </c>
      <c r="D11" s="58">
        <f>A11/L17*1000</f>
        <v>54</v>
      </c>
      <c r="E11" s="41" t="s">
        <v>48</v>
      </c>
      <c r="I11" s="41">
        <v>1</v>
      </c>
      <c r="J11" s="41" t="s">
        <v>21</v>
      </c>
      <c r="K11" s="41" t="s">
        <v>11</v>
      </c>
      <c r="L11" s="41">
        <v>277.8</v>
      </c>
      <c r="M11" s="41" t="s">
        <v>17</v>
      </c>
    </row>
    <row r="12" spans="9:13" ht="13.5" thickBot="1">
      <c r="I12" s="63">
        <v>1E+18</v>
      </c>
      <c r="J12" s="41" t="s">
        <v>19</v>
      </c>
      <c r="K12" s="41" t="s">
        <v>11</v>
      </c>
      <c r="L12" s="64">
        <f>L15*1000000000000000000</f>
        <v>278000000000</v>
      </c>
      <c r="M12" s="41" t="s">
        <v>17</v>
      </c>
    </row>
    <row r="13" spans="1:13" ht="13.5" thickBot="1">
      <c r="A13" s="58">
        <f>2160/1860</f>
        <v>1.1612903225806452</v>
      </c>
      <c r="B13" s="41" t="s">
        <v>22</v>
      </c>
      <c r="C13" s="41" t="s">
        <v>11</v>
      </c>
      <c r="D13" s="58">
        <f>A13*60*60/L19</f>
        <v>118.39833365308192</v>
      </c>
      <c r="E13" s="41" t="s">
        <v>48</v>
      </c>
      <c r="I13" s="63" t="s">
        <v>23</v>
      </c>
      <c r="K13" s="41" t="s">
        <v>11</v>
      </c>
      <c r="L13" s="64">
        <v>5800000</v>
      </c>
      <c r="M13" s="41" t="s">
        <v>24</v>
      </c>
    </row>
    <row r="14" spans="9:13" ht="13.5" thickBot="1">
      <c r="I14" s="63" t="s">
        <v>23</v>
      </c>
      <c r="K14" s="41" t="s">
        <v>11</v>
      </c>
      <c r="L14" s="64">
        <v>1700</v>
      </c>
      <c r="M14" s="41" t="s">
        <v>17</v>
      </c>
    </row>
    <row r="15" spans="1:13" ht="13.5" thickBot="1">
      <c r="A15" s="58">
        <f>3000000000/2304</f>
        <v>1302083.3333333333</v>
      </c>
      <c r="B15" s="41" t="s">
        <v>25</v>
      </c>
      <c r="C15" s="41" t="s">
        <v>11</v>
      </c>
      <c r="D15" s="58">
        <f>A15/24/L18</f>
        <v>205.35000841113634</v>
      </c>
      <c r="E15" s="41" t="s">
        <v>48</v>
      </c>
      <c r="I15" s="26">
        <v>1</v>
      </c>
      <c r="J15" s="41" t="s">
        <v>19</v>
      </c>
      <c r="K15" s="41" t="s">
        <v>11</v>
      </c>
      <c r="L15" s="63">
        <v>2.78E-07</v>
      </c>
      <c r="M15" s="41" t="s">
        <v>17</v>
      </c>
    </row>
    <row r="16" spans="8:13" ht="13.5" thickBot="1">
      <c r="H16" s="8" t="s">
        <v>26</v>
      </c>
      <c r="I16" s="60"/>
      <c r="J16" s="60"/>
      <c r="K16" s="60"/>
      <c r="L16" s="60"/>
      <c r="M16" s="60"/>
    </row>
    <row r="17" spans="1:13" ht="13.5" thickBot="1">
      <c r="A17" s="58">
        <v>195</v>
      </c>
      <c r="B17" s="41" t="s">
        <v>27</v>
      </c>
      <c r="C17" s="41" t="s">
        <v>11</v>
      </c>
      <c r="D17" s="62">
        <f>A17/L11*1000</f>
        <v>701.9438444924406</v>
      </c>
      <c r="E17" s="41" t="s">
        <v>48</v>
      </c>
      <c r="I17" s="41">
        <v>1</v>
      </c>
      <c r="J17" s="41" t="s">
        <v>28</v>
      </c>
      <c r="K17" s="41" t="s">
        <v>11</v>
      </c>
      <c r="L17" s="41">
        <v>1000</v>
      </c>
      <c r="M17" s="41" t="s">
        <v>29</v>
      </c>
    </row>
    <row r="18" spans="9:13" ht="13.5" thickBot="1">
      <c r="I18" s="41">
        <v>1</v>
      </c>
      <c r="J18" s="41" t="s">
        <v>28</v>
      </c>
      <c r="K18" s="41" t="s">
        <v>11</v>
      </c>
      <c r="L18" s="41">
        <v>264.2</v>
      </c>
      <c r="M18" s="41" t="s">
        <v>30</v>
      </c>
    </row>
    <row r="19" spans="1:13" ht="13.5" thickBot="1">
      <c r="A19" s="62">
        <v>2.62E-06</v>
      </c>
      <c r="B19" s="41" t="s">
        <v>31</v>
      </c>
      <c r="C19" s="41" t="s">
        <v>11</v>
      </c>
      <c r="D19" s="62">
        <f>A19*I20*1000</f>
        <v>3.2330799999999997</v>
      </c>
      <c r="E19" s="41" t="s">
        <v>48</v>
      </c>
      <c r="I19" s="41">
        <v>1</v>
      </c>
      <c r="J19" s="41" t="s">
        <v>28</v>
      </c>
      <c r="K19" s="41" t="s">
        <v>11</v>
      </c>
      <c r="L19" s="41">
        <v>35.31</v>
      </c>
      <c r="M19" s="41" t="s">
        <v>32</v>
      </c>
    </row>
    <row r="20" spans="9:13" ht="13.5" thickBot="1">
      <c r="I20" s="59">
        <v>1234</v>
      </c>
      <c r="J20" s="41" t="s">
        <v>28</v>
      </c>
      <c r="K20" s="41" t="s">
        <v>11</v>
      </c>
      <c r="L20" s="41">
        <v>1</v>
      </c>
      <c r="M20" s="41" t="s">
        <v>33</v>
      </c>
    </row>
    <row r="21" spans="1:13" ht="13.5" thickBot="1">
      <c r="A21" s="58">
        <f>25/1000000000000</f>
        <v>2.5E-11</v>
      </c>
      <c r="B21" s="41" t="s">
        <v>34</v>
      </c>
      <c r="D21" s="62">
        <f>A21*L9*1000</f>
        <v>0.09000000000000001</v>
      </c>
      <c r="E21" s="41" t="s">
        <v>48</v>
      </c>
      <c r="I21" s="41">
        <v>1</v>
      </c>
      <c r="J21" s="41" t="s">
        <v>35</v>
      </c>
      <c r="K21" s="41" t="s">
        <v>11</v>
      </c>
      <c r="L21" s="41">
        <f>1000^3</f>
        <v>1000000000</v>
      </c>
      <c r="M21" s="41" t="s">
        <v>28</v>
      </c>
    </row>
    <row r="22" spans="9:13" ht="13.5" thickBot="1">
      <c r="I22" s="41">
        <v>1</v>
      </c>
      <c r="J22" s="41" t="s">
        <v>36</v>
      </c>
      <c r="K22" s="41" t="s">
        <v>11</v>
      </c>
      <c r="L22" s="41">
        <v>1</v>
      </c>
      <c r="M22" s="41" t="s">
        <v>28</v>
      </c>
    </row>
    <row r="23" spans="1:13" ht="13.5" thickBot="1">
      <c r="A23" s="58">
        <v>70</v>
      </c>
      <c r="B23" s="41" t="s">
        <v>37</v>
      </c>
      <c r="C23" s="41" t="s">
        <v>11</v>
      </c>
      <c r="D23" s="62">
        <f>A23*I20/L7</f>
        <v>86.38</v>
      </c>
      <c r="E23" s="39" t="s">
        <v>38</v>
      </c>
      <c r="I23" s="41">
        <v>1</v>
      </c>
      <c r="J23" s="41" t="s">
        <v>351</v>
      </c>
      <c r="K23" s="106" t="s">
        <v>11</v>
      </c>
      <c r="L23" s="41">
        <v>378.5411784</v>
      </c>
      <c r="M23" s="41" t="s">
        <v>28</v>
      </c>
    </row>
    <row r="24" ht="13.5" thickBot="1"/>
    <row r="25" spans="1:12" ht="13.5" thickBot="1">
      <c r="A25" s="58">
        <v>45</v>
      </c>
      <c r="B25" s="41" t="s">
        <v>39</v>
      </c>
      <c r="C25" s="41" t="s">
        <v>11</v>
      </c>
      <c r="D25" s="62">
        <f>A25*$L$21/$L$12*1000</f>
        <v>161.8705035971223</v>
      </c>
      <c r="E25" s="41" t="s">
        <v>48</v>
      </c>
      <c r="L25" s="63"/>
    </row>
    <row r="26" spans="1:12" ht="13.5" thickBot="1">
      <c r="A26" s="1"/>
      <c r="C26" s="1"/>
      <c r="D26" s="160"/>
      <c r="E26" s="1"/>
      <c r="I26" s="63"/>
      <c r="J26" s="63"/>
      <c r="L26" s="63"/>
    </row>
    <row r="27" spans="1:10" ht="13.5" thickBot="1">
      <c r="A27" s="159">
        <v>64.516</v>
      </c>
      <c r="B27" s="41" t="s">
        <v>40</v>
      </c>
      <c r="C27" s="41" t="s">
        <v>11</v>
      </c>
      <c r="D27" s="65">
        <f>A27/L10*1000</f>
        <v>0.23225760000000006</v>
      </c>
      <c r="E27" s="41" t="s">
        <v>48</v>
      </c>
      <c r="I27" s="63"/>
      <c r="J27" s="63"/>
    </row>
    <row r="28" spans="9:10" ht="13.5" thickBot="1">
      <c r="I28" s="63"/>
      <c r="J28" s="63"/>
    </row>
    <row r="29" spans="1:10" ht="13.5" thickBot="1">
      <c r="A29" s="62">
        <v>4.32E-06</v>
      </c>
      <c r="B29" s="41" t="s">
        <v>12</v>
      </c>
      <c r="C29" s="41" t="s">
        <v>11</v>
      </c>
      <c r="D29" s="62">
        <f>A29*L15</f>
        <v>1.20096E-12</v>
      </c>
      <c r="E29" s="41" t="s">
        <v>34</v>
      </c>
      <c r="I29" s="63"/>
      <c r="J29" s="63"/>
    </row>
    <row r="30" ht="13.5" thickBot="1"/>
    <row r="31" spans="1:5" ht="13.5" thickBot="1">
      <c r="A31" s="58">
        <v>2000</v>
      </c>
      <c r="B31" s="41" t="s">
        <v>352</v>
      </c>
      <c r="C31" s="106" t="s">
        <v>11</v>
      </c>
      <c r="D31" s="58">
        <f>A31/1000000*(264.17)</f>
        <v>0.52834</v>
      </c>
      <c r="E31" s="41" t="s">
        <v>353</v>
      </c>
    </row>
    <row r="32" ht="13.5" thickBot="1"/>
    <row r="33" spans="1:5" ht="13.5" thickBot="1">
      <c r="A33" s="58">
        <v>652</v>
      </c>
      <c r="B33" s="41" t="s">
        <v>354</v>
      </c>
      <c r="C33" s="106"/>
      <c r="D33" s="58">
        <f>A33*0.0008107</f>
        <v>0.5285764000000001</v>
      </c>
      <c r="E33" s="41" t="s">
        <v>353</v>
      </c>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K78"/>
  <sheetViews>
    <sheetView workbookViewId="0" topLeftCell="A13">
      <selection activeCell="B4" sqref="B4:H34"/>
    </sheetView>
  </sheetViews>
  <sheetFormatPr defaultColWidth="9.140625" defaultRowHeight="12.75"/>
  <cols>
    <col min="1" max="1" width="15.8515625" style="41" customWidth="1"/>
    <col min="2" max="2" width="21.28125" style="41" customWidth="1"/>
    <col min="3" max="6" width="6.57421875" style="41" customWidth="1"/>
    <col min="7" max="7" width="39.28125" style="41" customWidth="1"/>
    <col min="8" max="8" width="16.7109375" style="41" customWidth="1"/>
    <col min="9" max="9" width="21.57421875" style="41" customWidth="1"/>
    <col min="10" max="16384" width="9.140625" style="41" customWidth="1"/>
  </cols>
  <sheetData>
    <row r="1" ht="12.75">
      <c r="B1" s="4" t="s">
        <v>79</v>
      </c>
    </row>
    <row r="2" ht="12.75">
      <c r="B2" s="4" t="s">
        <v>55</v>
      </c>
    </row>
    <row r="4" spans="2:6" ht="12.75">
      <c r="B4" s="153" t="s">
        <v>80</v>
      </c>
      <c r="C4" s="154" t="s">
        <v>56</v>
      </c>
      <c r="D4" s="155"/>
      <c r="E4" s="154" t="s">
        <v>57</v>
      </c>
      <c r="F4" s="155"/>
    </row>
    <row r="5" spans="2:6" ht="13.5" thickBot="1">
      <c r="B5" s="156"/>
      <c r="C5" s="157" t="s">
        <v>48</v>
      </c>
      <c r="D5" s="158"/>
      <c r="E5" s="157" t="s">
        <v>48</v>
      </c>
      <c r="F5" s="158"/>
    </row>
    <row r="6" spans="2:8" ht="12.75">
      <c r="B6" s="11" t="s">
        <v>2</v>
      </c>
      <c r="C6" s="3" t="s">
        <v>0</v>
      </c>
      <c r="D6" s="3" t="s">
        <v>1</v>
      </c>
      <c r="E6" s="3" t="s">
        <v>0</v>
      </c>
      <c r="F6" s="12" t="s">
        <v>1</v>
      </c>
      <c r="G6" s="3" t="s">
        <v>53</v>
      </c>
      <c r="H6" s="3" t="s">
        <v>88</v>
      </c>
    </row>
    <row r="7" spans="1:11" ht="25.5">
      <c r="A7" s="81"/>
      <c r="B7" s="46" t="s">
        <v>81</v>
      </c>
      <c r="C7" s="47">
        <v>359.9712023038157</v>
      </c>
      <c r="D7" s="13">
        <v>630</v>
      </c>
      <c r="E7" s="47">
        <v>359.9712023038157</v>
      </c>
      <c r="F7" s="13">
        <v>630</v>
      </c>
      <c r="G7" s="212" t="s">
        <v>380</v>
      </c>
      <c r="H7" s="20" t="s">
        <v>365</v>
      </c>
      <c r="K7" s="80"/>
    </row>
    <row r="8" spans="2:11" ht="25.5">
      <c r="B8" s="46" t="s">
        <v>82</v>
      </c>
      <c r="C8" s="47">
        <v>133</v>
      </c>
      <c r="D8" s="13">
        <v>558</v>
      </c>
      <c r="E8" s="47">
        <v>133</v>
      </c>
      <c r="F8" s="13">
        <v>558</v>
      </c>
      <c r="G8" s="213"/>
      <c r="H8" s="20" t="s">
        <v>365</v>
      </c>
      <c r="K8" s="80"/>
    </row>
    <row r="9" spans="2:11" ht="25.5">
      <c r="B9" s="46" t="s">
        <v>83</v>
      </c>
      <c r="C9" s="47">
        <v>256</v>
      </c>
      <c r="D9" s="13">
        <v>677</v>
      </c>
      <c r="E9" s="47">
        <v>256</v>
      </c>
      <c r="F9" s="13">
        <v>677</v>
      </c>
      <c r="G9" s="213"/>
      <c r="H9" s="20" t="s">
        <v>365</v>
      </c>
      <c r="K9" s="80"/>
    </row>
    <row r="10" spans="2:11" ht="25.5">
      <c r="B10" s="46" t="s">
        <v>84</v>
      </c>
      <c r="C10" s="47">
        <v>263</v>
      </c>
      <c r="D10" s="13">
        <v>1250</v>
      </c>
      <c r="E10" s="47">
        <v>263</v>
      </c>
      <c r="F10" s="13">
        <v>1250</v>
      </c>
      <c r="G10" s="213"/>
      <c r="H10" s="20" t="s">
        <v>365</v>
      </c>
      <c r="K10" s="80"/>
    </row>
    <row r="11" spans="2:11" ht="25.5">
      <c r="B11" s="46" t="s">
        <v>85</v>
      </c>
      <c r="C11" s="47">
        <v>144</v>
      </c>
      <c r="D11" s="13">
        <v>1260</v>
      </c>
      <c r="E11" s="47">
        <v>144</v>
      </c>
      <c r="F11" s="13">
        <v>1260</v>
      </c>
      <c r="G11" s="214"/>
      <c r="H11" s="20" t="s">
        <v>365</v>
      </c>
      <c r="K11" s="80"/>
    </row>
    <row r="12" spans="2:11" ht="12.75">
      <c r="B12" s="32"/>
      <c r="C12" s="32"/>
      <c r="D12" s="32"/>
      <c r="E12" s="48"/>
      <c r="F12" s="13"/>
      <c r="G12" s="32"/>
      <c r="H12" s="32"/>
      <c r="K12" s="80"/>
    </row>
    <row r="13" spans="2:11" ht="38.25">
      <c r="B13" s="16" t="s">
        <v>117</v>
      </c>
      <c r="C13" s="15">
        <v>2.5197984161267097</v>
      </c>
      <c r="D13" s="15">
        <v>2.5197984161267097</v>
      </c>
      <c r="E13" s="15">
        <v>2.5197984161267097</v>
      </c>
      <c r="F13" s="15">
        <v>2.5197984161267097</v>
      </c>
      <c r="G13" s="20" t="s">
        <v>381</v>
      </c>
      <c r="H13" s="20" t="s">
        <v>366</v>
      </c>
      <c r="K13" s="80"/>
    </row>
    <row r="14" spans="2:11" ht="38.25">
      <c r="B14" s="16" t="s">
        <v>118</v>
      </c>
      <c r="C14" s="15">
        <v>1.7998560115190783</v>
      </c>
      <c r="D14" s="15">
        <v>1.7998560115190783</v>
      </c>
      <c r="E14" s="15">
        <v>1.7998560115190783</v>
      </c>
      <c r="F14" s="15">
        <v>1.7998560115190783</v>
      </c>
      <c r="G14" s="20" t="s">
        <v>119</v>
      </c>
      <c r="H14" s="20" t="s">
        <v>366</v>
      </c>
      <c r="K14" s="80"/>
    </row>
    <row r="15" spans="2:11" ht="63.75">
      <c r="B15" s="16" t="s">
        <v>281</v>
      </c>
      <c r="C15" s="15">
        <v>0.3599712023038157</v>
      </c>
      <c r="D15" s="15">
        <v>0.3599712023038157</v>
      </c>
      <c r="E15" s="15">
        <v>0.3599712023038157</v>
      </c>
      <c r="F15" s="15">
        <v>0.3599712023038157</v>
      </c>
      <c r="G15" s="20" t="s">
        <v>282</v>
      </c>
      <c r="H15" s="20" t="s">
        <v>367</v>
      </c>
      <c r="K15" s="80"/>
    </row>
    <row r="16" spans="2:11" ht="38.25" customHeight="1">
      <c r="B16" s="161" t="s">
        <v>120</v>
      </c>
      <c r="C16" s="15">
        <v>0.107991360691145</v>
      </c>
      <c r="D16" s="15">
        <v>3.24</v>
      </c>
      <c r="E16" s="17"/>
      <c r="F16" s="17"/>
      <c r="G16" s="20" t="s">
        <v>283</v>
      </c>
      <c r="H16" s="20" t="s">
        <v>368</v>
      </c>
      <c r="K16" s="80"/>
    </row>
    <row r="17" spans="2:11" ht="25.5" customHeight="1">
      <c r="B17" s="45"/>
      <c r="C17" s="86"/>
      <c r="D17" s="86"/>
      <c r="E17" s="33"/>
      <c r="F17" s="33"/>
      <c r="K17" s="80"/>
    </row>
    <row r="18" spans="2:11" ht="12.75">
      <c r="B18" s="66" t="s">
        <v>274</v>
      </c>
      <c r="C18" s="27" t="s">
        <v>56</v>
      </c>
      <c r="D18" s="28"/>
      <c r="E18" s="27" t="s">
        <v>57</v>
      </c>
      <c r="F18" s="28"/>
      <c r="K18" s="80"/>
    </row>
    <row r="19" spans="2:11" ht="13.5" thickBot="1">
      <c r="B19" s="67"/>
      <c r="C19" s="29" t="s">
        <v>48</v>
      </c>
      <c r="D19" s="30"/>
      <c r="E19" s="29" t="s">
        <v>48</v>
      </c>
      <c r="F19" s="30"/>
      <c r="K19" s="80"/>
    </row>
    <row r="20" spans="2:11" ht="12.75">
      <c r="B20" s="11" t="s">
        <v>2</v>
      </c>
      <c r="C20" s="3" t="s">
        <v>0</v>
      </c>
      <c r="D20" s="3" t="s">
        <v>1</v>
      </c>
      <c r="E20" s="3" t="s">
        <v>0</v>
      </c>
      <c r="F20" s="12" t="s">
        <v>1</v>
      </c>
      <c r="G20" s="3" t="s">
        <v>53</v>
      </c>
      <c r="H20" s="3" t="s">
        <v>88</v>
      </c>
      <c r="K20" s="80"/>
    </row>
    <row r="21" spans="2:11" s="2" customFormat="1" ht="12.75">
      <c r="B21" s="49" t="str">
        <f>'Natural Gas'!A7</f>
        <v>Simple Cycle</v>
      </c>
      <c r="C21" s="9">
        <f>'Natural Gas'!B7</f>
        <v>0.08364875094625285</v>
      </c>
      <c r="D21" s="9">
        <f>'Natural Gas'!C7</f>
        <v>0.08364875094625285</v>
      </c>
      <c r="E21" s="9">
        <f>'Natural Gas'!D7</f>
        <v>0.08364875094625285</v>
      </c>
      <c r="F21" s="9">
        <f>'Natural Gas'!E7</f>
        <v>0.08364875094625285</v>
      </c>
      <c r="G21" s="210" t="s">
        <v>444</v>
      </c>
      <c r="H21" s="215" t="s">
        <v>359</v>
      </c>
      <c r="I21" s="208"/>
      <c r="K21" s="45"/>
    </row>
    <row r="22" spans="2:11" s="2" customFormat="1" ht="12.75">
      <c r="B22" s="49" t="str">
        <f>'Natural Gas'!A8</f>
        <v>Combined cycle, wet cooling</v>
      </c>
      <c r="C22" s="9">
        <f>'Natural Gas'!B8</f>
        <v>0.870552611657835</v>
      </c>
      <c r="D22" s="9">
        <f>'Natural Gas'!C8</f>
        <v>0.870552611657835</v>
      </c>
      <c r="E22" s="9">
        <f>'Natural Gas'!D8</f>
        <v>0.6813020439061317</v>
      </c>
      <c r="F22" s="9">
        <f>'Natural Gas'!E8</f>
        <v>0.6813020439061317</v>
      </c>
      <c r="G22" s="211"/>
      <c r="H22" s="215"/>
      <c r="I22" s="209"/>
      <c r="K22" s="45"/>
    </row>
    <row r="23" spans="2:11" s="2" customFormat="1" ht="12.75">
      <c r="B23" s="49" t="str">
        <f>'Natural Gas'!A9</f>
        <v>Combined cycle, dry cooling</v>
      </c>
      <c r="C23" s="9">
        <f>'Natural Gas'!B9</f>
        <v>0.1514004542013626</v>
      </c>
      <c r="D23" s="9">
        <f>'Natural Gas'!C9</f>
        <v>0.1514004542013626</v>
      </c>
      <c r="E23" s="9">
        <f>'Natural Gas'!D9</f>
        <v>0</v>
      </c>
      <c r="F23" s="9">
        <f>'Natural Gas'!E9</f>
        <v>0</v>
      </c>
      <c r="G23" s="211"/>
      <c r="H23" s="215"/>
      <c r="I23" s="209"/>
      <c r="K23" s="45"/>
    </row>
    <row r="24" spans="2:11" s="2" customFormat="1" ht="12.75">
      <c r="B24" s="49" t="str">
        <f>'Natural Gas'!A10</f>
        <v>Combined cycle, once-thru cooling</v>
      </c>
      <c r="C24" s="9">
        <f>'Natural Gas'!B10</f>
        <v>9.084027252081757</v>
      </c>
      <c r="D24" s="9">
        <f>'Natural Gas'!C10</f>
        <v>75.7002271006813</v>
      </c>
      <c r="E24" s="9">
        <f>'Natural Gas'!D10</f>
        <v>0.3785011355034065</v>
      </c>
      <c r="F24" s="9">
        <f>'Natural Gas'!E10</f>
        <v>0.3785011355034065</v>
      </c>
      <c r="G24" s="211"/>
      <c r="H24" s="215"/>
      <c r="I24" s="209"/>
      <c r="K24" s="45"/>
    </row>
    <row r="25" spans="2:11" s="2" customFormat="1" ht="12.75">
      <c r="B25" s="49"/>
      <c r="C25" s="9"/>
      <c r="D25" s="9"/>
      <c r="E25" s="9"/>
      <c r="F25" s="9"/>
      <c r="G25" s="211"/>
      <c r="H25" s="215"/>
      <c r="I25" s="209"/>
      <c r="K25" s="45"/>
    </row>
    <row r="26" spans="2:9" s="2" customFormat="1" ht="12.75">
      <c r="B26" s="49" t="str">
        <f>'Natural Gas'!A12</f>
        <v>Steam turbine, once-thru cooling</v>
      </c>
      <c r="C26" s="9">
        <f>'Natural Gas'!B12</f>
        <v>75.7002271006813</v>
      </c>
      <c r="D26" s="9">
        <f>'Natural Gas'!C12</f>
        <v>189.25056775170327</v>
      </c>
      <c r="E26" s="9">
        <f>'Natural Gas'!D12</f>
        <v>1.1355034065102196</v>
      </c>
      <c r="F26" s="9">
        <f>'Natural Gas'!E12</f>
        <v>1.1355034065102196</v>
      </c>
      <c r="G26" s="211"/>
      <c r="H26" s="215"/>
      <c r="I26" s="209"/>
    </row>
    <row r="27" spans="2:9" ht="12.75">
      <c r="B27" s="49" t="str">
        <f>'Natural Gas'!A13</f>
        <v>Steam turbine, wet cooling</v>
      </c>
      <c r="C27" s="9">
        <f>'Natural Gas'!B13</f>
        <v>1.1355034065102196</v>
      </c>
      <c r="D27" s="9">
        <f>'Natural Gas'!C13</f>
        <v>3.028009084027252</v>
      </c>
      <c r="E27" s="9">
        <f>'Natural Gas'!D13</f>
        <v>0.9084027252081757</v>
      </c>
      <c r="F27" s="9">
        <f>'Natural Gas'!E13</f>
        <v>2.4224072672218018</v>
      </c>
      <c r="G27" s="211"/>
      <c r="H27" s="215"/>
      <c r="I27" s="209"/>
    </row>
    <row r="28" spans="2:9" ht="12.75">
      <c r="B28" s="49" t="str">
        <f>'Natural Gas'!A14</f>
        <v>Steam turbine, dry cooling</v>
      </c>
      <c r="C28" s="9">
        <f>'Natural Gas'!B14</f>
        <v>0.1514004542013626</v>
      </c>
      <c r="D28" s="9">
        <f>'Natural Gas'!C14</f>
        <v>0.1514004542013626</v>
      </c>
      <c r="E28" s="9">
        <f>'Natural Gas'!D14</f>
        <v>0</v>
      </c>
      <c r="F28" s="9">
        <f>'Natural Gas'!E14</f>
        <v>0</v>
      </c>
      <c r="G28" s="211"/>
      <c r="H28" s="215"/>
      <c r="I28" s="209"/>
    </row>
    <row r="29" spans="2:9" ht="12.75">
      <c r="B29" s="49" t="str">
        <f>'Natural Gas'!A15</f>
        <v>Steam turbine, pond cooling</v>
      </c>
      <c r="C29" s="9">
        <f>'Natural Gas'!B15</f>
        <v>1.1355034065102196</v>
      </c>
      <c r="D29" s="9">
        <f>'Natural Gas'!C15</f>
        <v>2.2710068130204393</v>
      </c>
      <c r="E29" s="9">
        <f>'Natural Gas'!D15</f>
        <v>1.1355034065102196</v>
      </c>
      <c r="F29" s="9">
        <f>'Natural Gas'!E15</f>
        <v>1.8168054504163513</v>
      </c>
      <c r="G29" s="211"/>
      <c r="H29" s="216"/>
      <c r="I29" s="209"/>
    </row>
    <row r="30" spans="2:9" ht="12.75">
      <c r="B30" s="49"/>
      <c r="C30" s="9"/>
      <c r="D30" s="9"/>
      <c r="E30" s="9"/>
      <c r="F30" s="9"/>
      <c r="G30" s="9"/>
      <c r="H30" s="9"/>
      <c r="I30" s="209"/>
    </row>
    <row r="31" spans="2:8" ht="89.25">
      <c r="B31" s="50" t="str">
        <f>'Natural Gas'!A18</f>
        <v>Mining, combined cycle conversion technology</v>
      </c>
      <c r="C31" s="9">
        <v>0</v>
      </c>
      <c r="D31" s="9">
        <v>0</v>
      </c>
      <c r="E31" s="9">
        <v>0</v>
      </c>
      <c r="F31" s="9">
        <v>0</v>
      </c>
      <c r="G31" s="10" t="s">
        <v>302</v>
      </c>
      <c r="H31" s="9"/>
    </row>
    <row r="32" spans="2:8" ht="38.25">
      <c r="B32" s="51" t="str">
        <f>'Natural Gas'!A20</f>
        <v>Transportation, combined cycle conversion technology</v>
      </c>
      <c r="C32" s="9">
        <v>0</v>
      </c>
      <c r="D32" s="9">
        <v>0</v>
      </c>
      <c r="E32" s="9">
        <v>0</v>
      </c>
      <c r="F32" s="9">
        <v>0</v>
      </c>
      <c r="G32" s="10" t="s">
        <v>279</v>
      </c>
      <c r="H32" s="9"/>
    </row>
    <row r="33" spans="2:8" ht="12.75">
      <c r="B33" s="52" t="s">
        <v>278</v>
      </c>
      <c r="C33" s="9">
        <v>0</v>
      </c>
      <c r="D33" s="9">
        <v>0</v>
      </c>
      <c r="E33" s="9">
        <v>0</v>
      </c>
      <c r="F33" s="9">
        <v>0</v>
      </c>
      <c r="G33" s="9"/>
      <c r="H33" s="9"/>
    </row>
    <row r="34" spans="2:8" ht="12.75">
      <c r="B34" s="52" t="s">
        <v>305</v>
      </c>
      <c r="C34" s="9">
        <v>0.47312641937925815</v>
      </c>
      <c r="D34" s="47">
        <v>0.6056018168054504</v>
      </c>
      <c r="E34" s="13">
        <v>0.47312641937925815</v>
      </c>
      <c r="F34" s="47">
        <v>0.6056018168054504</v>
      </c>
      <c r="G34" s="13"/>
      <c r="H34" s="32" t="s">
        <v>358</v>
      </c>
    </row>
    <row r="35" ht="39.75" customHeight="1">
      <c r="B35" s="88"/>
    </row>
    <row r="36" spans="1:10" ht="25.5">
      <c r="A36" s="152" t="s">
        <v>87</v>
      </c>
      <c r="B36" s="101"/>
      <c r="C36" s="151"/>
      <c r="D36" s="101"/>
      <c r="E36" s="101"/>
      <c r="F36" s="102"/>
      <c r="G36" s="69" t="s">
        <v>42</v>
      </c>
      <c r="H36" s="70"/>
      <c r="I36" s="71" t="s">
        <v>43</v>
      </c>
      <c r="J36" s="70"/>
    </row>
    <row r="37" spans="1:10" ht="12.75">
      <c r="A37" s="72" t="s">
        <v>363</v>
      </c>
      <c r="G37" s="73" t="s">
        <v>0</v>
      </c>
      <c r="H37" s="73" t="s">
        <v>1</v>
      </c>
      <c r="I37" s="73" t="s">
        <v>0</v>
      </c>
      <c r="J37" s="73" t="s">
        <v>1</v>
      </c>
    </row>
    <row r="38" spans="1:10" ht="12.75">
      <c r="A38" s="32">
        <v>1</v>
      </c>
      <c r="B38" s="74" t="s">
        <v>102</v>
      </c>
      <c r="G38" s="82">
        <f>C$7+C$15</f>
        <v>360.3311735061195</v>
      </c>
      <c r="H38" s="82">
        <f>D$7+D$15</f>
        <v>630.3599712023038</v>
      </c>
      <c r="I38" s="82">
        <f>E$7+E$15</f>
        <v>360.3311735061195</v>
      </c>
      <c r="J38" s="82">
        <f>F$7+F$15</f>
        <v>630.3599712023038</v>
      </c>
    </row>
    <row r="39" spans="1:10" ht="12.75">
      <c r="A39" s="32">
        <v>2</v>
      </c>
      <c r="B39" s="74" t="s">
        <v>103</v>
      </c>
      <c r="G39" s="82">
        <f>C$8+C$15</f>
        <v>133.35997120230383</v>
      </c>
      <c r="H39" s="82">
        <f>D$8+D$15</f>
        <v>558.3599712023038</v>
      </c>
      <c r="I39" s="82">
        <f>E$8+E$15</f>
        <v>133.35997120230383</v>
      </c>
      <c r="J39" s="82">
        <f>F$8+F$15</f>
        <v>558.3599712023038</v>
      </c>
    </row>
    <row r="40" spans="1:10" ht="12.75">
      <c r="A40" s="32">
        <v>3</v>
      </c>
      <c r="B40" s="74" t="s">
        <v>104</v>
      </c>
      <c r="G40" s="82">
        <f>C$9+C$15</f>
        <v>256.3599712023038</v>
      </c>
      <c r="H40" s="82">
        <f>D$9+D$15</f>
        <v>677.3599712023038</v>
      </c>
      <c r="I40" s="82">
        <f>E$9+E$15</f>
        <v>256.3599712023038</v>
      </c>
      <c r="J40" s="82">
        <f>F$9+F$15</f>
        <v>677.3599712023038</v>
      </c>
    </row>
    <row r="41" spans="1:10" ht="12.75">
      <c r="A41" s="32">
        <v>4</v>
      </c>
      <c r="B41" s="32" t="s">
        <v>105</v>
      </c>
      <c r="G41" s="82">
        <f>C$10+C$15</f>
        <v>263.3599712023038</v>
      </c>
      <c r="H41" s="82">
        <f>D$10+D$15</f>
        <v>1250.3599712023038</v>
      </c>
      <c r="I41" s="82">
        <f>E$10+E$15</f>
        <v>263.3599712023038</v>
      </c>
      <c r="J41" s="82">
        <f>F$10+F$15</f>
        <v>1250.3599712023038</v>
      </c>
    </row>
    <row r="42" spans="1:10" ht="12.75">
      <c r="A42" s="20">
        <v>5</v>
      </c>
      <c r="B42" s="21" t="s">
        <v>106</v>
      </c>
      <c r="G42" s="82">
        <f>C$11+C$15</f>
        <v>144.35997120230383</v>
      </c>
      <c r="H42" s="82">
        <f>D$11+D$15</f>
        <v>1260.3599712023038</v>
      </c>
      <c r="I42" s="82">
        <f>E$11+E$15</f>
        <v>144.35997120230383</v>
      </c>
      <c r="J42" s="82">
        <f>F$11+F$15</f>
        <v>1260.3599712023038</v>
      </c>
    </row>
    <row r="43" spans="1:10" ht="12.75">
      <c r="A43" s="20">
        <v>6</v>
      </c>
      <c r="B43" s="74" t="s">
        <v>284</v>
      </c>
      <c r="G43" s="82">
        <f>C$7+C$15+C$16</f>
        <v>360.43916486681064</v>
      </c>
      <c r="H43" s="82">
        <f>D$7+D$15+D$16</f>
        <v>633.5999712023038</v>
      </c>
      <c r="I43" s="82">
        <f>E$7+E$15+E$16</f>
        <v>360.3311735061195</v>
      </c>
      <c r="J43" s="82">
        <f>F$7+F$15+F$16</f>
        <v>630.3599712023038</v>
      </c>
    </row>
    <row r="44" spans="1:10" ht="12.75">
      <c r="A44" s="32">
        <v>7</v>
      </c>
      <c r="B44" s="74" t="s">
        <v>285</v>
      </c>
      <c r="G44" s="82">
        <f>C$8+C$15+C$16</f>
        <v>133.46796256299498</v>
      </c>
      <c r="H44" s="82">
        <f>D$8+D$15+D$16</f>
        <v>561.5999712023038</v>
      </c>
      <c r="I44" s="82">
        <f>E$8+E$15+E$16</f>
        <v>133.35997120230383</v>
      </c>
      <c r="J44" s="82">
        <f>F$8+F$15+F$16</f>
        <v>558.3599712023038</v>
      </c>
    </row>
    <row r="45" spans="1:10" ht="12.75">
      <c r="A45" s="20">
        <v>8</v>
      </c>
      <c r="B45" s="74" t="s">
        <v>286</v>
      </c>
      <c r="G45" s="82">
        <f>C$9+C$15+C$16</f>
        <v>256.46796256299496</v>
      </c>
      <c r="H45" s="82">
        <f>D$9+D$15+D$16</f>
        <v>680.5999712023038</v>
      </c>
      <c r="I45" s="82">
        <f>E$9+E$15+E$16</f>
        <v>256.3599712023038</v>
      </c>
      <c r="J45" s="82">
        <f>F$9+F$15+F$16</f>
        <v>677.3599712023038</v>
      </c>
    </row>
    <row r="46" spans="1:10" ht="12.75">
      <c r="A46" s="20">
        <v>9</v>
      </c>
      <c r="B46" s="32" t="s">
        <v>287</v>
      </c>
      <c r="G46" s="82">
        <f>C$10+C$15+C$16</f>
        <v>263.46796256299496</v>
      </c>
      <c r="H46" s="82">
        <f>D$10+D$15+D$16</f>
        <v>1253.5999712023038</v>
      </c>
      <c r="I46" s="82">
        <f>E$10+E$15+E$16</f>
        <v>263.3599712023038</v>
      </c>
      <c r="J46" s="82">
        <f>F$10+F$15+F$16</f>
        <v>1250.3599712023038</v>
      </c>
    </row>
    <row r="47" spans="1:10" ht="12.75">
      <c r="A47" s="32">
        <v>10</v>
      </c>
      <c r="B47" s="21" t="s">
        <v>288</v>
      </c>
      <c r="G47" s="82">
        <f>C$11+C$15+C$16</f>
        <v>144.46796256299498</v>
      </c>
      <c r="H47" s="82">
        <f>D$11+D$15+D$16</f>
        <v>1263.5999712023038</v>
      </c>
      <c r="I47" s="82">
        <f>E$11+E$15+E$16</f>
        <v>144.35997120230383</v>
      </c>
      <c r="J47" s="82">
        <f>F$11+F$15+F$16</f>
        <v>1260.3599712023038</v>
      </c>
    </row>
    <row r="48" spans="1:10" ht="12.75">
      <c r="A48" s="20">
        <v>11</v>
      </c>
      <c r="B48" s="74" t="s">
        <v>107</v>
      </c>
      <c r="G48" s="82">
        <f>C$7+C$13</f>
        <v>362.4910007199424</v>
      </c>
      <c r="H48" s="82">
        <f>D$7+D$13</f>
        <v>632.5197984161267</v>
      </c>
      <c r="I48" s="82">
        <f>E$7+E$13</f>
        <v>362.4910007199424</v>
      </c>
      <c r="J48" s="82">
        <f>F$7+F$13</f>
        <v>632.5197984161267</v>
      </c>
    </row>
    <row r="49" spans="1:10" ht="12.75">
      <c r="A49" s="20">
        <v>12</v>
      </c>
      <c r="B49" s="74" t="s">
        <v>108</v>
      </c>
      <c r="G49" s="82">
        <f>C$8+C$13</f>
        <v>135.51979841612672</v>
      </c>
      <c r="H49" s="82">
        <f>D$8+D$13</f>
        <v>560.5197984161267</v>
      </c>
      <c r="I49" s="82">
        <f>E$8+E$13</f>
        <v>135.51979841612672</v>
      </c>
      <c r="J49" s="82">
        <f>F$8+F$13</f>
        <v>560.5197984161267</v>
      </c>
    </row>
    <row r="50" spans="1:10" ht="12.75">
      <c r="A50" s="32">
        <v>13</v>
      </c>
      <c r="B50" s="74" t="s">
        <v>109</v>
      </c>
      <c r="G50" s="82">
        <f>C$9+C$13</f>
        <v>258.5197984161267</v>
      </c>
      <c r="H50" s="82">
        <f>D$9+D$13</f>
        <v>679.5197984161267</v>
      </c>
      <c r="I50" s="82">
        <f>E$9+E$13</f>
        <v>258.5197984161267</v>
      </c>
      <c r="J50" s="82">
        <f>F$9+F$13</f>
        <v>679.5197984161267</v>
      </c>
    </row>
    <row r="51" spans="1:10" ht="12.75">
      <c r="A51" s="20">
        <v>14</v>
      </c>
      <c r="B51" s="32" t="s">
        <v>110</v>
      </c>
      <c r="G51" s="82">
        <f>C$10+C$13</f>
        <v>265.5197984161267</v>
      </c>
      <c r="H51" s="82">
        <f>D$10+D$13</f>
        <v>1252.5197984161266</v>
      </c>
      <c r="I51" s="82">
        <f>E$10+E$13</f>
        <v>265.5197984161267</v>
      </c>
      <c r="J51" s="82">
        <f>F$10+F$13</f>
        <v>1252.5197984161266</v>
      </c>
    </row>
    <row r="52" spans="1:10" ht="12.75">
      <c r="A52" s="20">
        <v>15</v>
      </c>
      <c r="B52" s="21" t="s">
        <v>111</v>
      </c>
      <c r="G52" s="82">
        <f>C$11+C$13</f>
        <v>146.51979841612672</v>
      </c>
      <c r="H52" s="82">
        <f>D$11+D$13</f>
        <v>1262.5197984161266</v>
      </c>
      <c r="I52" s="82">
        <f>E$11+E$13</f>
        <v>146.51979841612672</v>
      </c>
      <c r="J52" s="82">
        <f>F$11+F$13</f>
        <v>1262.5197984161266</v>
      </c>
    </row>
    <row r="53" spans="1:10" ht="12.75">
      <c r="A53" s="32">
        <v>16</v>
      </c>
      <c r="B53" s="74" t="s">
        <v>112</v>
      </c>
      <c r="G53" s="82">
        <f>C$7+C$14</f>
        <v>361.77105831533476</v>
      </c>
      <c r="H53" s="82">
        <f>D$7+D$14</f>
        <v>631.7998560115191</v>
      </c>
      <c r="I53" s="82">
        <f>E$7+E$14</f>
        <v>361.77105831533476</v>
      </c>
      <c r="J53" s="82">
        <f>F$7+F$14</f>
        <v>631.7998560115191</v>
      </c>
    </row>
    <row r="54" spans="1:10" ht="12.75">
      <c r="A54" s="20">
        <v>17</v>
      </c>
      <c r="B54" s="74" t="s">
        <v>113</v>
      </c>
      <c r="G54" s="82">
        <f>C$8+C$14</f>
        <v>134.79985601151907</v>
      </c>
      <c r="H54" s="82">
        <f>D$8+D$14</f>
        <v>559.7998560115191</v>
      </c>
      <c r="I54" s="82">
        <f>E$8+E$14</f>
        <v>134.79985601151907</v>
      </c>
      <c r="J54" s="82">
        <f>F$8+F$14</f>
        <v>559.7998560115191</v>
      </c>
    </row>
    <row r="55" spans="1:10" ht="12.75">
      <c r="A55" s="20">
        <v>18</v>
      </c>
      <c r="B55" s="74" t="s">
        <v>114</v>
      </c>
      <c r="G55" s="82">
        <f>C$9+C$14</f>
        <v>257.79985601151907</v>
      </c>
      <c r="H55" s="82">
        <f>D$9+D$14</f>
        <v>678.7998560115191</v>
      </c>
      <c r="I55" s="82">
        <f>E$9+E$14</f>
        <v>257.79985601151907</v>
      </c>
      <c r="J55" s="82">
        <f>F$9+F$14</f>
        <v>678.7998560115191</v>
      </c>
    </row>
    <row r="56" spans="1:10" ht="12.75">
      <c r="A56" s="32">
        <v>19</v>
      </c>
      <c r="B56" s="32" t="s">
        <v>115</v>
      </c>
      <c r="G56" s="82">
        <f>C$10+C$14</f>
        <v>264.79985601151907</v>
      </c>
      <c r="H56" s="82">
        <f>D$10+D$14</f>
        <v>1251.799856011519</v>
      </c>
      <c r="I56" s="82">
        <f>E$10+E$14</f>
        <v>264.79985601151907</v>
      </c>
      <c r="J56" s="82">
        <f>F$10+F$14</f>
        <v>1251.799856011519</v>
      </c>
    </row>
    <row r="57" spans="1:10" ht="12.75">
      <c r="A57" s="20">
        <v>20</v>
      </c>
      <c r="B57" s="21" t="s">
        <v>116</v>
      </c>
      <c r="G57" s="82">
        <f>C$11+C$14</f>
        <v>145.79985601151907</v>
      </c>
      <c r="H57" s="82">
        <f>D$11+D$14</f>
        <v>1261.799856011519</v>
      </c>
      <c r="I57" s="82">
        <f>E$11+E$14</f>
        <v>145.79985601151907</v>
      </c>
      <c r="J57" s="82">
        <f>F$11+F$14</f>
        <v>1261.799856011519</v>
      </c>
    </row>
    <row r="58" spans="1:10" ht="12.75">
      <c r="A58" s="18"/>
      <c r="B58" s="34"/>
      <c r="G58" s="84"/>
      <c r="H58" s="84"/>
      <c r="I58" s="84"/>
      <c r="J58" s="84"/>
    </row>
    <row r="59" spans="1:2" ht="12.75">
      <c r="A59" s="41" t="s">
        <v>364</v>
      </c>
      <c r="B59" s="34"/>
    </row>
    <row r="60" spans="1:10" ht="12.75">
      <c r="A60" s="10">
        <v>21</v>
      </c>
      <c r="B60" s="21" t="s">
        <v>249</v>
      </c>
      <c r="G60" s="36">
        <f>C15</f>
        <v>0.3599712023038157</v>
      </c>
      <c r="H60" s="36">
        <f>D15</f>
        <v>0.3599712023038157</v>
      </c>
      <c r="I60" s="36">
        <f>E15</f>
        <v>0.3599712023038157</v>
      </c>
      <c r="J60" s="36">
        <f>F15</f>
        <v>0.3599712023038157</v>
      </c>
    </row>
    <row r="61" spans="1:10" ht="12.75">
      <c r="A61" s="32">
        <v>22</v>
      </c>
      <c r="B61" s="21" t="s">
        <v>289</v>
      </c>
      <c r="G61" s="36">
        <f>C15+C16</f>
        <v>0.4679625629949607</v>
      </c>
      <c r="H61" s="36">
        <f>D15+D16</f>
        <v>3.599971202303816</v>
      </c>
      <c r="I61" s="36">
        <f>E15+E16</f>
        <v>0.3599712023038157</v>
      </c>
      <c r="J61" s="36">
        <f>F15+F16</f>
        <v>0.3599712023038157</v>
      </c>
    </row>
    <row r="62" spans="1:10" ht="12.75">
      <c r="A62" s="10">
        <v>23</v>
      </c>
      <c r="B62" s="21" t="s">
        <v>290</v>
      </c>
      <c r="G62" s="36">
        <f aca="true" t="shared" si="0" ref="G62:J63">C13</f>
        <v>2.5197984161267097</v>
      </c>
      <c r="H62" s="36">
        <f t="shared" si="0"/>
        <v>2.5197984161267097</v>
      </c>
      <c r="I62" s="36">
        <f t="shared" si="0"/>
        <v>2.5197984161267097</v>
      </c>
      <c r="J62" s="36">
        <f t="shared" si="0"/>
        <v>2.5197984161267097</v>
      </c>
    </row>
    <row r="63" spans="1:10" ht="12.75">
      <c r="A63" s="32">
        <v>24</v>
      </c>
      <c r="B63" s="54" t="s">
        <v>291</v>
      </c>
      <c r="G63" s="36">
        <f t="shared" si="0"/>
        <v>1.7998560115190783</v>
      </c>
      <c r="H63" s="36">
        <f t="shared" si="0"/>
        <v>1.7998560115190783</v>
      </c>
      <c r="I63" s="36">
        <f t="shared" si="0"/>
        <v>1.7998560115190783</v>
      </c>
      <c r="J63" s="36">
        <f t="shared" si="0"/>
        <v>1.7998560115190783</v>
      </c>
    </row>
    <row r="64" spans="2:10" ht="12.75">
      <c r="B64" s="53"/>
      <c r="G64" s="32"/>
      <c r="H64" s="32"/>
      <c r="I64" s="32"/>
      <c r="J64" s="32"/>
    </row>
    <row r="65" spans="1:10" ht="12.75">
      <c r="A65" s="41" t="s">
        <v>280</v>
      </c>
      <c r="G65" s="32"/>
      <c r="H65" s="32"/>
      <c r="I65" s="32"/>
      <c r="J65" s="32"/>
    </row>
    <row r="66" spans="1:10" ht="12.75">
      <c r="A66" s="32">
        <v>25</v>
      </c>
      <c r="B66" s="9" t="s">
        <v>292</v>
      </c>
      <c r="D66" s="2"/>
      <c r="G66" s="36">
        <f>C21</f>
        <v>0.08364875094625285</v>
      </c>
      <c r="H66" s="36">
        <f>D21</f>
        <v>0.08364875094625285</v>
      </c>
      <c r="I66" s="36">
        <f>E21</f>
        <v>0.08364875094625285</v>
      </c>
      <c r="J66" s="36">
        <f>F21</f>
        <v>0.08364875094625285</v>
      </c>
    </row>
    <row r="67" spans="1:10" ht="12.75">
      <c r="A67" s="32">
        <v>26</v>
      </c>
      <c r="B67" s="9" t="s">
        <v>293</v>
      </c>
      <c r="D67" s="2"/>
      <c r="G67" s="36">
        <f>C21+C34</f>
        <v>0.556775170325511</v>
      </c>
      <c r="H67" s="36">
        <f>D21+D34</f>
        <v>0.6892505677517033</v>
      </c>
      <c r="I67" s="36">
        <f>E21+E34</f>
        <v>0.556775170325511</v>
      </c>
      <c r="J67" s="36">
        <f>F21+F34</f>
        <v>0.6892505677517033</v>
      </c>
    </row>
    <row r="68" spans="1:10" ht="12.75">
      <c r="A68" s="32">
        <v>27</v>
      </c>
      <c r="B68" s="9" t="s">
        <v>294</v>
      </c>
      <c r="D68" s="2"/>
      <c r="G68" s="36">
        <f>C22+C34</f>
        <v>1.3436790310370932</v>
      </c>
      <c r="H68" s="36">
        <f>D22+D34</f>
        <v>1.4761544284632855</v>
      </c>
      <c r="I68" s="36">
        <f>E22+E34</f>
        <v>1.1544284632853898</v>
      </c>
      <c r="J68" s="36">
        <f>F22+F34</f>
        <v>1.2869038607115821</v>
      </c>
    </row>
    <row r="69" spans="1:10" ht="12.75">
      <c r="A69" s="32">
        <v>28</v>
      </c>
      <c r="B69" s="9" t="s">
        <v>295</v>
      </c>
      <c r="D69" s="2"/>
      <c r="G69" s="36">
        <f>C22</f>
        <v>0.870552611657835</v>
      </c>
      <c r="H69" s="36">
        <f>D22</f>
        <v>0.870552611657835</v>
      </c>
      <c r="I69" s="36">
        <f>E22</f>
        <v>0.6813020439061317</v>
      </c>
      <c r="J69" s="36">
        <f>F22</f>
        <v>0.6813020439061317</v>
      </c>
    </row>
    <row r="70" spans="1:10" ht="12.75">
      <c r="A70" s="32">
        <v>29</v>
      </c>
      <c r="B70" s="9" t="s">
        <v>296</v>
      </c>
      <c r="D70" s="2"/>
      <c r="G70" s="36">
        <f>C23+C34</f>
        <v>0.6245268735806208</v>
      </c>
      <c r="H70" s="36">
        <f>D23+D34</f>
        <v>0.757002271006813</v>
      </c>
      <c r="I70" s="36">
        <f>E23+E34</f>
        <v>0.47312641937925815</v>
      </c>
      <c r="J70" s="36">
        <f>F23+F34</f>
        <v>0.6056018168054504</v>
      </c>
    </row>
    <row r="71" spans="1:10" ht="12.75">
      <c r="A71" s="32">
        <v>30</v>
      </c>
      <c r="B71" s="9" t="s">
        <v>297</v>
      </c>
      <c r="D71" s="2"/>
      <c r="G71" s="36">
        <f aca="true" t="shared" si="1" ref="G71:J72">C23</f>
        <v>0.1514004542013626</v>
      </c>
      <c r="H71" s="36">
        <f t="shared" si="1"/>
        <v>0.1514004542013626</v>
      </c>
      <c r="I71" s="36">
        <f t="shared" si="1"/>
        <v>0</v>
      </c>
      <c r="J71" s="36">
        <f t="shared" si="1"/>
        <v>0</v>
      </c>
    </row>
    <row r="72" spans="1:10" ht="12.75">
      <c r="A72" s="32">
        <v>31</v>
      </c>
      <c r="B72" s="9" t="s">
        <v>298</v>
      </c>
      <c r="D72" s="2"/>
      <c r="G72" s="36">
        <f t="shared" si="1"/>
        <v>9.084027252081757</v>
      </c>
      <c r="H72" s="36">
        <f t="shared" si="1"/>
        <v>75.7002271006813</v>
      </c>
      <c r="I72" s="36">
        <f t="shared" si="1"/>
        <v>0.3785011355034065</v>
      </c>
      <c r="J72" s="36">
        <f t="shared" si="1"/>
        <v>0.3785011355034065</v>
      </c>
    </row>
    <row r="73" spans="1:10" ht="12.75">
      <c r="A73" s="32">
        <v>32</v>
      </c>
      <c r="B73" s="9" t="s">
        <v>299</v>
      </c>
      <c r="D73" s="2"/>
      <c r="G73" s="36">
        <f aca="true" t="shared" si="2" ref="G73:J76">C26</f>
        <v>75.7002271006813</v>
      </c>
      <c r="H73" s="36">
        <f t="shared" si="2"/>
        <v>189.25056775170327</v>
      </c>
      <c r="I73" s="36">
        <f t="shared" si="2"/>
        <v>1.1355034065102196</v>
      </c>
      <c r="J73" s="36">
        <f t="shared" si="2"/>
        <v>1.1355034065102196</v>
      </c>
    </row>
    <row r="74" spans="1:10" ht="12.75">
      <c r="A74" s="32">
        <v>33</v>
      </c>
      <c r="B74" s="9" t="s">
        <v>300</v>
      </c>
      <c r="D74" s="2"/>
      <c r="G74" s="36">
        <f t="shared" si="2"/>
        <v>1.1355034065102196</v>
      </c>
      <c r="H74" s="36">
        <f t="shared" si="2"/>
        <v>3.028009084027252</v>
      </c>
      <c r="I74" s="36">
        <f t="shared" si="2"/>
        <v>0.9084027252081757</v>
      </c>
      <c r="J74" s="36">
        <f t="shared" si="2"/>
        <v>2.4224072672218018</v>
      </c>
    </row>
    <row r="75" spans="1:10" ht="12.75">
      <c r="A75" s="32"/>
      <c r="B75" s="9" t="s">
        <v>404</v>
      </c>
      <c r="D75" s="2"/>
      <c r="G75" s="36">
        <f t="shared" si="2"/>
        <v>0.1514004542013626</v>
      </c>
      <c r="H75" s="36">
        <f t="shared" si="2"/>
        <v>0.1514004542013626</v>
      </c>
      <c r="I75" s="36">
        <f t="shared" si="2"/>
        <v>0</v>
      </c>
      <c r="J75" s="36">
        <f t="shared" si="2"/>
        <v>0</v>
      </c>
    </row>
    <row r="76" spans="1:10" ht="12.75">
      <c r="A76" s="32">
        <v>34</v>
      </c>
      <c r="B76" s="9" t="s">
        <v>301</v>
      </c>
      <c r="D76" s="2"/>
      <c r="G76" s="36">
        <f t="shared" si="2"/>
        <v>1.1355034065102196</v>
      </c>
      <c r="H76" s="36">
        <f t="shared" si="2"/>
        <v>2.2710068130204393</v>
      </c>
      <c r="I76" s="36">
        <f t="shared" si="2"/>
        <v>1.1355034065102196</v>
      </c>
      <c r="J76" s="36">
        <f t="shared" si="2"/>
        <v>1.8168054504163513</v>
      </c>
    </row>
    <row r="77" spans="1:4" ht="12.75">
      <c r="A77" s="41">
        <v>35</v>
      </c>
      <c r="D77" s="2"/>
    </row>
    <row r="78" spans="1:4" ht="12.75">
      <c r="A78" s="41">
        <v>36</v>
      </c>
      <c r="D78" s="2"/>
    </row>
  </sheetData>
  <mergeCells count="4">
    <mergeCell ref="I21:I30"/>
    <mergeCell ref="G21:G29"/>
    <mergeCell ref="G7:G11"/>
    <mergeCell ref="H21:H29"/>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L98"/>
  <sheetViews>
    <sheetView tabSelected="1" zoomScale="75" zoomScaleNormal="75" workbookViewId="0" topLeftCell="A1">
      <selection activeCell="B4" sqref="B4:H28"/>
    </sheetView>
  </sheetViews>
  <sheetFormatPr defaultColWidth="9.140625" defaultRowHeight="12.75"/>
  <cols>
    <col min="2" max="2" width="29.7109375" style="0" customWidth="1"/>
    <col min="3" max="6" width="7.28125" style="0" customWidth="1"/>
    <col min="7" max="7" width="41.421875" style="0" customWidth="1"/>
    <col min="8" max="8" width="31.8515625" style="0" customWidth="1"/>
    <col min="10" max="10" width="10.140625" style="0" customWidth="1"/>
  </cols>
  <sheetData>
    <row r="1" spans="2:7" s="4" customFormat="1" ht="12.75">
      <c r="B1" s="4" t="s">
        <v>5</v>
      </c>
      <c r="G1" s="39"/>
    </row>
    <row r="2" spans="2:7" s="4" customFormat="1" ht="12.75">
      <c r="B2" s="4" t="s">
        <v>55</v>
      </c>
      <c r="C2" s="40"/>
      <c r="D2" s="40"/>
      <c r="E2" s="40"/>
      <c r="F2" s="40"/>
      <c r="G2" s="39"/>
    </row>
    <row r="3" spans="3:7" s="41" customFormat="1" ht="12.75">
      <c r="C3" s="39"/>
      <c r="D3" s="39"/>
      <c r="E3" s="39"/>
      <c r="F3" s="39"/>
      <c r="G3" s="39"/>
    </row>
    <row r="4" spans="2:7" s="41" customFormat="1" ht="12.75">
      <c r="B4" s="153" t="s">
        <v>58</v>
      </c>
      <c r="C4" s="154" t="s">
        <v>56</v>
      </c>
      <c r="D4" s="155"/>
      <c r="E4" s="154" t="s">
        <v>57</v>
      </c>
      <c r="F4" s="155"/>
      <c r="G4" s="39"/>
    </row>
    <row r="5" spans="2:6" s="41" customFormat="1" ht="12.75">
      <c r="B5" s="156"/>
      <c r="C5" s="157" t="s">
        <v>48</v>
      </c>
      <c r="D5" s="158"/>
      <c r="E5" s="157" t="s">
        <v>48</v>
      </c>
      <c r="F5" s="158"/>
    </row>
    <row r="6" spans="2:8" s="1" customFormat="1" ht="12.75">
      <c r="B6" s="23" t="s">
        <v>2</v>
      </c>
      <c r="C6" s="3" t="s">
        <v>0</v>
      </c>
      <c r="D6" s="3" t="s">
        <v>1</v>
      </c>
      <c r="E6" s="3" t="s">
        <v>0</v>
      </c>
      <c r="F6" s="3" t="s">
        <v>4</v>
      </c>
      <c r="G6" s="3" t="s">
        <v>53</v>
      </c>
      <c r="H6" s="3" t="s">
        <v>88</v>
      </c>
    </row>
    <row r="7" spans="2:8" ht="63.75">
      <c r="B7" s="118" t="s">
        <v>46</v>
      </c>
      <c r="C7" s="119">
        <v>0.0051672820000000005</v>
      </c>
      <c r="D7" s="119">
        <v>0.49235920065483785</v>
      </c>
      <c r="E7" s="119">
        <v>0.005</v>
      </c>
      <c r="F7" s="120">
        <v>0.05294075294456468</v>
      </c>
      <c r="G7" s="10" t="s">
        <v>361</v>
      </c>
      <c r="H7" s="10" t="s">
        <v>377</v>
      </c>
    </row>
    <row r="8" spans="2:8" ht="51">
      <c r="B8" s="121" t="s">
        <v>47</v>
      </c>
      <c r="C8" s="116">
        <v>0.44620052559344675</v>
      </c>
      <c r="D8" s="116">
        <v>0.44620052559344675</v>
      </c>
      <c r="E8" s="116">
        <v>0.031764451766738803</v>
      </c>
      <c r="F8" s="122">
        <v>0.2117630117782587</v>
      </c>
      <c r="G8" s="9"/>
      <c r="H8" s="10" t="s">
        <v>360</v>
      </c>
    </row>
    <row r="9" spans="2:8" ht="12.75">
      <c r="B9" s="121" t="s">
        <v>190</v>
      </c>
      <c r="C9" s="116">
        <v>0.012308943089430894</v>
      </c>
      <c r="D9" s="116">
        <v>0.02461788617886179</v>
      </c>
      <c r="E9" s="116">
        <v>0</v>
      </c>
      <c r="F9" s="122">
        <v>0</v>
      </c>
      <c r="G9" s="9" t="s">
        <v>191</v>
      </c>
      <c r="H9" s="9" t="s">
        <v>331</v>
      </c>
    </row>
    <row r="10" spans="2:8" ht="63.75">
      <c r="B10" s="121" t="s">
        <v>160</v>
      </c>
      <c r="C10" s="116">
        <v>0.030772450040927362</v>
      </c>
      <c r="D10" s="116">
        <v>0.9</v>
      </c>
      <c r="E10" s="116">
        <v>0.03</v>
      </c>
      <c r="F10" s="122">
        <v>0.8999928000575994</v>
      </c>
      <c r="G10" s="9"/>
      <c r="H10" s="20" t="s">
        <v>378</v>
      </c>
    </row>
    <row r="11" spans="2:8" ht="13.5" thickBot="1">
      <c r="B11" s="123" t="s">
        <v>3</v>
      </c>
      <c r="C11" s="124">
        <v>0.009231735012278208</v>
      </c>
      <c r="D11" s="124">
        <v>0.27</v>
      </c>
      <c r="E11" s="124">
        <v>0.009</v>
      </c>
      <c r="F11" s="125">
        <v>0.26999784001727983</v>
      </c>
      <c r="G11" s="9" t="s">
        <v>44</v>
      </c>
      <c r="H11" s="9" t="s">
        <v>332</v>
      </c>
    </row>
    <row r="12" spans="2:8" ht="12.75">
      <c r="B12" s="126" t="s">
        <v>407</v>
      </c>
      <c r="C12" s="127">
        <v>0.18017424560935083</v>
      </c>
      <c r="D12" s="127">
        <v>0.23759515725605634</v>
      </c>
      <c r="E12" s="127">
        <v>0.09463529508653426</v>
      </c>
      <c r="F12" s="128">
        <v>0.12756837777664817</v>
      </c>
      <c r="G12" s="9" t="s">
        <v>193</v>
      </c>
      <c r="H12" s="9" t="s">
        <v>333</v>
      </c>
    </row>
    <row r="13" spans="2:8" ht="12.75">
      <c r="B13" s="129" t="s">
        <v>408</v>
      </c>
      <c r="C13" s="130">
        <v>0.1483881504</v>
      </c>
      <c r="D13" s="130">
        <v>0.3891403536</v>
      </c>
      <c r="E13" s="131"/>
      <c r="F13" s="132"/>
      <c r="G13" s="133"/>
      <c r="H13" s="9" t="s">
        <v>333</v>
      </c>
    </row>
    <row r="14" spans="2:8" ht="12.75">
      <c r="B14" s="129" t="s">
        <v>409</v>
      </c>
      <c r="C14" s="131"/>
      <c r="D14" s="131"/>
      <c r="E14" s="130">
        <v>0.0946353</v>
      </c>
      <c r="F14" s="134">
        <v>0.128704008</v>
      </c>
      <c r="G14" s="133"/>
      <c r="H14" s="9" t="s">
        <v>333</v>
      </c>
    </row>
    <row r="15" spans="2:8" ht="12.75">
      <c r="B15" s="129" t="s">
        <v>410</v>
      </c>
      <c r="C15" s="131"/>
      <c r="D15" s="131"/>
      <c r="E15" s="130">
        <v>0.291476724</v>
      </c>
      <c r="F15" s="134">
        <v>0.401253672</v>
      </c>
      <c r="G15" s="133"/>
      <c r="H15" s="9" t="s">
        <v>333</v>
      </c>
    </row>
    <row r="16" spans="2:8" ht="12.75">
      <c r="B16" s="135" t="s">
        <v>411</v>
      </c>
      <c r="C16" s="130">
        <v>2.2966093411600133</v>
      </c>
      <c r="D16" s="130">
        <v>2.792119746233107</v>
      </c>
      <c r="E16" s="116">
        <f>C16</f>
        <v>2.2966093411600133</v>
      </c>
      <c r="F16" s="122">
        <f>D16</f>
        <v>2.792119746233107</v>
      </c>
      <c r="G16" s="133"/>
      <c r="H16" s="9" t="s">
        <v>333</v>
      </c>
    </row>
    <row r="17" spans="2:8" ht="13.5" thickBot="1">
      <c r="B17" s="136" t="s">
        <v>412</v>
      </c>
      <c r="C17" s="124">
        <f>C25*0.65</f>
        <v>0.7380772142316427</v>
      </c>
      <c r="D17" s="124">
        <f>D25*0.65</f>
        <v>1.4761544284632855</v>
      </c>
      <c r="E17" s="124">
        <f>E25*0.65</f>
        <v>0.7380772142316427</v>
      </c>
      <c r="F17" s="125">
        <f>F25*0.65</f>
        <v>1.1809235427706284</v>
      </c>
      <c r="G17" s="133"/>
      <c r="H17" s="9" t="s">
        <v>333</v>
      </c>
    </row>
    <row r="18" spans="2:8" ht="38.25">
      <c r="B18" s="126" t="s">
        <v>413</v>
      </c>
      <c r="C18" s="127">
        <v>0.14344818029216863</v>
      </c>
      <c r="D18" s="127">
        <v>0.16193613154027398</v>
      </c>
      <c r="E18" s="127">
        <v>0</v>
      </c>
      <c r="F18" s="128">
        <v>0</v>
      </c>
      <c r="G18" s="9" t="s">
        <v>192</v>
      </c>
      <c r="H18" s="20" t="s">
        <v>334</v>
      </c>
    </row>
    <row r="19" spans="2:8" ht="12.75">
      <c r="B19" s="129" t="s">
        <v>414</v>
      </c>
      <c r="C19" s="130">
        <v>0.0071922828</v>
      </c>
      <c r="D19" s="130">
        <v>0.016655812800000003</v>
      </c>
      <c r="E19" s="131"/>
      <c r="F19" s="132"/>
      <c r="G19" s="133"/>
      <c r="H19" s="133"/>
    </row>
    <row r="20" spans="2:8" ht="12.75">
      <c r="B20" s="129" t="s">
        <v>415</v>
      </c>
      <c r="C20" s="131"/>
      <c r="D20" s="131"/>
      <c r="E20" s="130">
        <v>0.030283296</v>
      </c>
      <c r="F20" s="134">
        <v>0.034068708</v>
      </c>
      <c r="G20" s="133"/>
      <c r="H20" s="133"/>
    </row>
    <row r="21" spans="2:8" ht="12.75">
      <c r="B21" s="129" t="s">
        <v>416</v>
      </c>
      <c r="C21" s="131"/>
      <c r="D21" s="131"/>
      <c r="E21" s="130">
        <v>0.35961414</v>
      </c>
      <c r="F21" s="134">
        <v>0.405039084</v>
      </c>
      <c r="G21" s="133"/>
      <c r="H21" s="133"/>
    </row>
    <row r="22" spans="2:8" ht="12.75">
      <c r="B22" s="137" t="s">
        <v>417</v>
      </c>
      <c r="C22" s="116">
        <v>0.2353588878948455</v>
      </c>
      <c r="D22" s="116">
        <v>0.40499621498864496</v>
      </c>
      <c r="E22" s="116">
        <v>0.2353588878948455</v>
      </c>
      <c r="F22" s="122">
        <v>0.40499621498864496</v>
      </c>
      <c r="G22" s="133"/>
      <c r="H22" s="133"/>
    </row>
    <row r="23" spans="2:8" ht="51">
      <c r="B23" s="135" t="s">
        <v>418</v>
      </c>
      <c r="C23" s="130">
        <v>3.70894648503145</v>
      </c>
      <c r="D23" s="130">
        <v>4.160167572004045</v>
      </c>
      <c r="E23" s="116">
        <f>C23</f>
        <v>3.70894648503145</v>
      </c>
      <c r="F23" s="122">
        <f>E23</f>
        <v>3.70894648503145</v>
      </c>
      <c r="G23" s="9" t="s">
        <v>330</v>
      </c>
      <c r="H23" s="10" t="s">
        <v>335</v>
      </c>
    </row>
    <row r="24" spans="2:8" ht="24.75" customHeight="1">
      <c r="B24" s="135" t="s">
        <v>419</v>
      </c>
      <c r="C24" s="114">
        <v>75.7002271006813</v>
      </c>
      <c r="D24" s="114">
        <v>189.25056775170327</v>
      </c>
      <c r="E24" s="114">
        <v>1.1355034065102196</v>
      </c>
      <c r="F24" s="138">
        <v>1.1355034065102196</v>
      </c>
      <c r="G24" s="10" t="s">
        <v>420</v>
      </c>
      <c r="H24" s="20" t="s">
        <v>334</v>
      </c>
    </row>
    <row r="25" spans="2:8" ht="12.75">
      <c r="B25" s="135" t="s">
        <v>421</v>
      </c>
      <c r="C25" s="116">
        <v>1.1355034065102196</v>
      </c>
      <c r="D25" s="116">
        <v>2.2710068130204393</v>
      </c>
      <c r="E25" s="116">
        <v>1.1355034065102196</v>
      </c>
      <c r="F25" s="122">
        <v>1.8168054504163513</v>
      </c>
      <c r="G25" s="9" t="s">
        <v>336</v>
      </c>
      <c r="H25" s="10" t="s">
        <v>337</v>
      </c>
    </row>
    <row r="26" spans="2:8" ht="89.25">
      <c r="B26" s="135" t="s">
        <v>422</v>
      </c>
      <c r="C26" s="116">
        <v>0.3785011355034065</v>
      </c>
      <c r="D26" s="116">
        <v>3.633610900832703</v>
      </c>
      <c r="E26" s="116">
        <v>0.3633610900832703</v>
      </c>
      <c r="F26" s="122">
        <v>3.3308099924299777</v>
      </c>
      <c r="G26" s="10" t="s">
        <v>423</v>
      </c>
      <c r="H26" s="10" t="s">
        <v>339</v>
      </c>
    </row>
    <row r="27" spans="2:8" ht="51">
      <c r="B27" s="135" t="s">
        <v>424</v>
      </c>
      <c r="C27" s="116">
        <v>0.09462528387585163</v>
      </c>
      <c r="D27" s="116">
        <v>0.22710068130204394</v>
      </c>
      <c r="E27" s="116">
        <v>0.09084027252081757</v>
      </c>
      <c r="F27" s="122">
        <v>0.2081756245268736</v>
      </c>
      <c r="G27" s="10" t="s">
        <v>425</v>
      </c>
      <c r="H27" s="9" t="s">
        <v>338</v>
      </c>
    </row>
    <row r="28" spans="2:8" ht="27.75" customHeight="1" thickBot="1">
      <c r="B28" s="136" t="s">
        <v>426</v>
      </c>
      <c r="C28" s="124">
        <v>0.09462528387585163</v>
      </c>
      <c r="D28" s="124">
        <v>0.22710068130204394</v>
      </c>
      <c r="E28" s="124">
        <v>0.09405753217259653</v>
      </c>
      <c r="F28" s="125">
        <v>0.2089326267978804</v>
      </c>
      <c r="G28" s="10" t="s">
        <v>427</v>
      </c>
      <c r="H28" s="9" t="s">
        <v>329</v>
      </c>
    </row>
    <row r="30" spans="1:12" s="41" customFormat="1" ht="39.75" customHeight="1">
      <c r="A30" s="22"/>
      <c r="B30" s="104" t="s">
        <v>41</v>
      </c>
      <c r="C30" s="104"/>
      <c r="D30" s="104"/>
      <c r="E30" s="104"/>
      <c r="F30" s="104"/>
      <c r="G30" s="104"/>
      <c r="H30" s="90"/>
      <c r="I30" s="71" t="s">
        <v>42</v>
      </c>
      <c r="J30" s="70"/>
      <c r="K30" s="71" t="s">
        <v>43</v>
      </c>
      <c r="L30" s="70"/>
    </row>
    <row r="31" spans="9:12" s="41" customFormat="1" ht="12.75">
      <c r="I31" s="73" t="s">
        <v>0</v>
      </c>
      <c r="J31" s="73" t="s">
        <v>1</v>
      </c>
      <c r="K31" s="73" t="s">
        <v>0</v>
      </c>
      <c r="L31" s="73" t="s">
        <v>1</v>
      </c>
    </row>
    <row r="32" spans="1:12" s="41" customFormat="1" ht="12.75">
      <c r="A32" s="57"/>
      <c r="B32" s="7" t="s">
        <v>157</v>
      </c>
      <c r="C32" s="57"/>
      <c r="D32" s="57"/>
      <c r="E32" s="57"/>
      <c r="F32" s="57"/>
      <c r="G32" s="57"/>
      <c r="H32" s="57"/>
      <c r="I32" s="91"/>
      <c r="J32" s="91"/>
      <c r="K32" s="91"/>
      <c r="L32" s="91"/>
    </row>
    <row r="33" spans="2:12" s="41" customFormat="1" ht="12.75">
      <c r="B33" s="41" t="s">
        <v>147</v>
      </c>
      <c r="I33" s="92">
        <f>C7+C9+C10</f>
        <v>0.04824867513035826</v>
      </c>
      <c r="J33" s="92">
        <f>D7+D9+D10</f>
        <v>1.4169770868336995</v>
      </c>
      <c r="K33" s="92">
        <f>E7+E9+E10</f>
        <v>0.034999999999999996</v>
      </c>
      <c r="L33" s="92">
        <f>F7+F9+F10</f>
        <v>0.9529335530021641</v>
      </c>
    </row>
    <row r="34" spans="2:12" s="41" customFormat="1" ht="12.75">
      <c r="B34" s="41" t="s">
        <v>148</v>
      </c>
      <c r="I34" s="92">
        <f>C7+C10</f>
        <v>0.03593973204092736</v>
      </c>
      <c r="J34" s="92">
        <f>D7+D10</f>
        <v>1.392359200654838</v>
      </c>
      <c r="K34" s="92">
        <f>E7+E10</f>
        <v>0.034999999999999996</v>
      </c>
      <c r="L34" s="92">
        <f>F7+F10</f>
        <v>0.9529335530021641</v>
      </c>
    </row>
    <row r="35" spans="2:12" s="41" customFormat="1" ht="12.75">
      <c r="B35" s="41" t="s">
        <v>149</v>
      </c>
      <c r="I35" s="92">
        <f>C8+C9+C10</f>
        <v>0.489281918723805</v>
      </c>
      <c r="J35" s="92">
        <f>D8+D9+D10</f>
        <v>1.3708184117723086</v>
      </c>
      <c r="K35" s="92">
        <f>E8+E9+E10</f>
        <v>0.0617644517667388</v>
      </c>
      <c r="L35" s="92">
        <f>F8+F9+F10</f>
        <v>1.1117558118358581</v>
      </c>
    </row>
    <row r="36" spans="2:12" s="41" customFormat="1" ht="12.75">
      <c r="B36" s="41" t="s">
        <v>150</v>
      </c>
      <c r="I36" s="92">
        <f>C8+C10</f>
        <v>0.47697297563437413</v>
      </c>
      <c r="J36" s="92">
        <f>D8+D10</f>
        <v>1.3462005255934468</v>
      </c>
      <c r="K36" s="92">
        <f>E8+E10</f>
        <v>0.0617644517667388</v>
      </c>
      <c r="L36" s="92">
        <f>F8+F10</f>
        <v>1.1117558118358581</v>
      </c>
    </row>
    <row r="37" spans="1:12" s="41" customFormat="1" ht="12.75">
      <c r="A37" s="57"/>
      <c r="B37" s="7" t="s">
        <v>158</v>
      </c>
      <c r="C37" s="57"/>
      <c r="D37" s="57"/>
      <c r="E37" s="57"/>
      <c r="F37" s="57"/>
      <c r="G37" s="57"/>
      <c r="H37" s="57"/>
      <c r="I37" s="93"/>
      <c r="J37" s="93"/>
      <c r="K37" s="93"/>
      <c r="L37" s="93"/>
    </row>
    <row r="38" spans="2:12" s="41" customFormat="1" ht="12.75">
      <c r="B38" s="41" t="s">
        <v>161</v>
      </c>
      <c r="I38" s="92">
        <f>C18+C19+C20+C21+C22+C24</f>
        <v>76.08622645166832</v>
      </c>
      <c r="J38" s="92">
        <f>D18+D19+D20+D21+D22+D24</f>
        <v>189.83415591103218</v>
      </c>
      <c r="K38" s="92">
        <f>E18+E19+E20+E21+E22+E24</f>
        <v>1.760759730405065</v>
      </c>
      <c r="L38" s="92">
        <f>F18+F19+F20+F21+F22+F24</f>
        <v>1.9796074134988646</v>
      </c>
    </row>
    <row r="39" spans="2:12" s="41" customFormat="1" ht="12.75">
      <c r="B39" s="41" t="s">
        <v>162</v>
      </c>
      <c r="I39" s="92">
        <f>C18+C19+C20+C21+C22+C27</f>
        <v>0.4806246348628657</v>
      </c>
      <c r="J39" s="92">
        <f>D18+D19+D20+D21+D22+D27</f>
        <v>0.8106888406309629</v>
      </c>
      <c r="K39" s="92">
        <f>E18+E19+E20+E21+E22+E27</f>
        <v>0.7160965964156631</v>
      </c>
      <c r="L39" s="92">
        <f>F18+F19+F20+F21+F22+F27</f>
        <v>1.0522796315155185</v>
      </c>
    </row>
    <row r="40" spans="2:12" s="41" customFormat="1" ht="12.75">
      <c r="B40" s="41" t="s">
        <v>163</v>
      </c>
      <c r="I40" s="92">
        <f>C18+C19+C20+C21+C22+C28</f>
        <v>0.4806246348628657</v>
      </c>
      <c r="J40" s="92">
        <f>D18+D19+D20+D21+D22+D28</f>
        <v>0.8106888406309629</v>
      </c>
      <c r="K40" s="92">
        <f>E18+E19+E20+E21+E22+E28</f>
        <v>0.719313856067442</v>
      </c>
      <c r="L40" s="92">
        <f>F18+F19+F20+F21+F22+F28</f>
        <v>1.0530366337865253</v>
      </c>
    </row>
    <row r="41" spans="2:12" s="41" customFormat="1" ht="12.75">
      <c r="B41" s="39" t="s">
        <v>164</v>
      </c>
      <c r="C41" s="39"/>
      <c r="D41" s="39"/>
      <c r="E41" s="39"/>
      <c r="F41" s="39"/>
      <c r="G41" s="39"/>
      <c r="H41" s="39"/>
      <c r="I41" s="92">
        <f>C18+C19+C20+C21+C22+C28</f>
        <v>0.4806246348628657</v>
      </c>
      <c r="J41" s="92">
        <f>D18+D19+D20+D21+D22+D28</f>
        <v>0.8106888406309629</v>
      </c>
      <c r="K41" s="92">
        <f>E18+E19+E20+E21+E22+E28</f>
        <v>0.719313856067442</v>
      </c>
      <c r="L41" s="92">
        <f>F18+F19+F20+F21+F22+F28</f>
        <v>1.0530366337865253</v>
      </c>
    </row>
    <row r="42" spans="2:12" s="41" customFormat="1" ht="12.75">
      <c r="B42" s="39" t="s">
        <v>166</v>
      </c>
      <c r="C42" s="39"/>
      <c r="D42" s="39"/>
      <c r="E42" s="39"/>
      <c r="F42" s="39"/>
      <c r="G42" s="39"/>
      <c r="H42" s="39"/>
      <c r="I42" s="92">
        <f>C18+C19+C20+C21+C22+C23+C24+C25</f>
        <v>80.93067634321</v>
      </c>
      <c r="J42" s="92">
        <f>D18+D19+D20+D21+D22+D23+D24+D25</f>
        <v>196.26533029605667</v>
      </c>
      <c r="K42" s="92">
        <f>E18+E19+E20+E21+E22+E23+E24+E25</f>
        <v>6.605209621946734</v>
      </c>
      <c r="L42" s="92">
        <f>F18+F19+F20+F21+F22+F23+F24+F25</f>
        <v>7.505359348946666</v>
      </c>
    </row>
    <row r="43" spans="2:12" s="41" customFormat="1" ht="12.75">
      <c r="B43" s="39" t="s">
        <v>165</v>
      </c>
      <c r="C43" s="39"/>
      <c r="D43" s="39"/>
      <c r="E43" s="39"/>
      <c r="F43" s="39"/>
      <c r="G43" s="39"/>
      <c r="H43" s="39"/>
      <c r="I43" s="92">
        <f>C18+C19+C20+C21+C22+C23</f>
        <v>4.094945836018464</v>
      </c>
      <c r="J43" s="92">
        <f>D18+D19+D20+D21+D22+D23</f>
        <v>4.743755731332964</v>
      </c>
      <c r="K43" s="92">
        <f>E18+E19+E20+E21+E22+E23</f>
        <v>4.334202808926296</v>
      </c>
      <c r="L43" s="92">
        <f>F18+F19+F20+F21+F22+F23</f>
        <v>4.553050492020095</v>
      </c>
    </row>
    <row r="44" spans="1:12" s="41" customFormat="1" ht="12.75">
      <c r="A44" s="41" t="s">
        <v>329</v>
      </c>
      <c r="B44" s="39" t="s">
        <v>151</v>
      </c>
      <c r="C44" s="39"/>
      <c r="D44" s="39"/>
      <c r="E44" s="39"/>
      <c r="F44" s="39"/>
      <c r="G44" s="39"/>
      <c r="H44" s="39"/>
      <c r="I44" s="92">
        <f>C12+C13+C14+C15+(0.65*C24)</f>
        <v>49.5337100114522</v>
      </c>
      <c r="J44" s="92">
        <f>D12+D13+D14+D15+(0.65*D24)</f>
        <v>123.63960454946319</v>
      </c>
      <c r="K44" s="92">
        <f>E12+E13+E14+E15+(0.65*E24)</f>
        <v>1.218824533318177</v>
      </c>
      <c r="L44" s="92">
        <f>F12+F13+F14+F15+(0.65*F24)</f>
        <v>1.395603272008291</v>
      </c>
    </row>
    <row r="45" spans="1:12" s="41" customFormat="1" ht="12.75">
      <c r="A45" s="41" t="s">
        <v>329</v>
      </c>
      <c r="B45" s="39" t="s">
        <v>153</v>
      </c>
      <c r="C45" s="39"/>
      <c r="D45" s="39"/>
      <c r="E45" s="39"/>
      <c r="F45" s="39"/>
      <c r="G45" s="39"/>
      <c r="H45" s="39"/>
      <c r="I45" s="92">
        <f>C12+C13+C14+C15+(0.65*C27)</f>
        <v>0.3900688305286544</v>
      </c>
      <c r="J45" s="92">
        <f>D12+D13+D14+D15+(0.65*D27)</f>
        <v>0.7743509537023849</v>
      </c>
      <c r="K45" s="92">
        <f>E12+E13+E14+E15+(0.65*E27)</f>
        <v>0.5397934962250657</v>
      </c>
      <c r="L45" s="92">
        <f>F12+F13+F14+F15+(0.65*F27)</f>
        <v>0.7928402137191161</v>
      </c>
    </row>
    <row r="46" spans="1:12" s="41" customFormat="1" ht="12.75">
      <c r="A46" s="41" t="s">
        <v>329</v>
      </c>
      <c r="B46" s="39" t="s">
        <v>156</v>
      </c>
      <c r="C46" s="39"/>
      <c r="D46" s="39"/>
      <c r="E46" s="39"/>
      <c r="F46" s="39"/>
      <c r="G46" s="39"/>
      <c r="H46" s="39"/>
      <c r="I46" s="92">
        <f>C12+C13+C14+C15+(0.65*C28)</f>
        <v>0.3900688305286544</v>
      </c>
      <c r="J46" s="92">
        <f>D12+D13+D14+D15+(0.65*D28)</f>
        <v>0.7743509537023849</v>
      </c>
      <c r="K46" s="92">
        <f>E12+E13+E14+E15+(0.65*E28)</f>
        <v>0.541884714998722</v>
      </c>
      <c r="L46" s="92">
        <f>F12+F13+F14+F15+(0.65*F28)</f>
        <v>0.7933322651952704</v>
      </c>
    </row>
    <row r="47" spans="1:12" s="41" customFormat="1" ht="12.75">
      <c r="A47" s="41" t="s">
        <v>329</v>
      </c>
      <c r="B47" s="39" t="s">
        <v>155</v>
      </c>
      <c r="C47" s="39"/>
      <c r="D47" s="39"/>
      <c r="E47" s="39"/>
      <c r="F47" s="39"/>
      <c r="G47" s="39"/>
      <c r="H47" s="39"/>
      <c r="I47" s="92">
        <f>C12+C13+C14+C15+(0.65*C26)</f>
        <v>0.5745881340865651</v>
      </c>
      <c r="J47" s="92">
        <f>D12+D13+D14+D15+(0.65*D26)</f>
        <v>2.988582596397314</v>
      </c>
      <c r="K47" s="92">
        <f>E12+E13+E14+E15+(0.65*E26)</f>
        <v>0.71693202764066</v>
      </c>
      <c r="L47" s="92">
        <f>F12+F13+F14+F15+(0.65*F26)</f>
        <v>2.8225525528561337</v>
      </c>
    </row>
    <row r="48" spans="1:12" s="41" customFormat="1" ht="12.75">
      <c r="A48" s="41" t="s">
        <v>45</v>
      </c>
      <c r="B48" s="39" t="s">
        <v>152</v>
      </c>
      <c r="C48" s="39"/>
      <c r="D48" s="39"/>
      <c r="E48" s="39"/>
      <c r="F48" s="39"/>
      <c r="G48" s="39"/>
      <c r="H48" s="39"/>
      <c r="I48" s="92">
        <f>SUM(C12:C15,C17)</f>
        <v>1.0666396102409936</v>
      </c>
      <c r="J48" s="92">
        <f>SUM(D12:D15,D17)</f>
        <v>2.1028899393193417</v>
      </c>
      <c r="K48" s="92">
        <f>SUM(E12:E15,E17)</f>
        <v>1.218824533318177</v>
      </c>
      <c r="L48" s="92">
        <f>SUM(F12:F15,F17)</f>
        <v>1.8384496005472766</v>
      </c>
    </row>
    <row r="49" spans="1:12" s="41" customFormat="1" ht="12.75">
      <c r="A49" s="39" t="s">
        <v>45</v>
      </c>
      <c r="B49" s="39" t="s">
        <v>154</v>
      </c>
      <c r="C49" s="39"/>
      <c r="D49" s="39"/>
      <c r="E49" s="39"/>
      <c r="F49" s="39"/>
      <c r="G49" s="39"/>
      <c r="H49" s="39"/>
      <c r="I49" s="92">
        <f>SUM(C12:C16)</f>
        <v>2.625171737169364</v>
      </c>
      <c r="J49" s="92">
        <f>SUM(D12:D16)</f>
        <v>3.418855257089163</v>
      </c>
      <c r="K49" s="92">
        <f>SUM(E12:E16)</f>
        <v>2.7773566602465474</v>
      </c>
      <c r="L49" s="92">
        <f>SUM(F12:F16)</f>
        <v>3.449645804009755</v>
      </c>
    </row>
    <row r="50" spans="1:12" s="41" customFormat="1" ht="15" customHeight="1">
      <c r="A50" s="57"/>
      <c r="B50" s="7" t="s">
        <v>159</v>
      </c>
      <c r="C50" s="57"/>
      <c r="D50" s="57"/>
      <c r="E50" s="57"/>
      <c r="F50" s="57"/>
      <c r="G50" s="57"/>
      <c r="H50" s="57"/>
      <c r="I50" s="93"/>
      <c r="J50" s="93"/>
      <c r="K50" s="93"/>
      <c r="L50" s="93"/>
    </row>
    <row r="51" spans="1:12" s="94" customFormat="1" ht="12.75">
      <c r="A51" s="94">
        <v>1</v>
      </c>
      <c r="B51" s="94" t="s">
        <v>124</v>
      </c>
      <c r="I51" s="95">
        <f>I33+I38</f>
        <v>76.13447512679868</v>
      </c>
      <c r="J51" s="95">
        <f>J33+J38</f>
        <v>191.25113299786588</v>
      </c>
      <c r="K51" s="95">
        <f>K33+K38</f>
        <v>1.795759730405065</v>
      </c>
      <c r="L51" s="95">
        <f>L33+L38</f>
        <v>2.932540966501029</v>
      </c>
    </row>
    <row r="52" spans="1:12" s="41" customFormat="1" ht="12.75">
      <c r="A52" s="41">
        <v>2</v>
      </c>
      <c r="B52" s="41" t="s">
        <v>169</v>
      </c>
      <c r="I52" s="96">
        <f>I33+I39</f>
        <v>0.528873309993224</v>
      </c>
      <c r="J52" s="96">
        <f>J33+J39</f>
        <v>2.2276659274646624</v>
      </c>
      <c r="K52" s="96">
        <f>K33+K39</f>
        <v>0.7510965964156632</v>
      </c>
      <c r="L52" s="96">
        <f>L33+L39</f>
        <v>2.0052131845176824</v>
      </c>
    </row>
    <row r="53" spans="1:12" s="41" customFormat="1" ht="12.75">
      <c r="A53" s="41">
        <v>3</v>
      </c>
      <c r="B53" s="41" t="s">
        <v>170</v>
      </c>
      <c r="I53" s="96">
        <f>I33+I40</f>
        <v>0.528873309993224</v>
      </c>
      <c r="J53" s="96">
        <f>J33+J40</f>
        <v>2.2276659274646624</v>
      </c>
      <c r="K53" s="96">
        <f>K33+K40</f>
        <v>0.7543138560674421</v>
      </c>
      <c r="L53" s="96">
        <f>L33+L40</f>
        <v>2.0059701867886894</v>
      </c>
    </row>
    <row r="54" spans="1:12" s="41" customFormat="1" ht="12.75">
      <c r="A54" s="41">
        <v>4</v>
      </c>
      <c r="B54" s="41" t="s">
        <v>125</v>
      </c>
      <c r="I54" s="96">
        <f>I33+I41</f>
        <v>0.528873309993224</v>
      </c>
      <c r="J54" s="96">
        <f>J33+J41</f>
        <v>2.2276659274646624</v>
      </c>
      <c r="K54" s="96">
        <f>K33+K41</f>
        <v>0.7543138560674421</v>
      </c>
      <c r="L54" s="96">
        <f>L33+L41</f>
        <v>2.0059701867886894</v>
      </c>
    </row>
    <row r="55" spans="1:12" s="41" customFormat="1" ht="12.75">
      <c r="A55" s="41">
        <v>5</v>
      </c>
      <c r="B55" s="41" t="s">
        <v>168</v>
      </c>
      <c r="I55" s="96">
        <f>I33+I42</f>
        <v>80.97892501834035</v>
      </c>
      <c r="J55" s="96">
        <f>J33+J42</f>
        <v>197.68230738289037</v>
      </c>
      <c r="K55" s="96">
        <f>K33+K42</f>
        <v>6.640209621946735</v>
      </c>
      <c r="L55" s="96">
        <f>L33+L42</f>
        <v>8.45829290194883</v>
      </c>
    </row>
    <row r="56" spans="1:12" s="94" customFormat="1" ht="12.75">
      <c r="A56" s="94">
        <v>6</v>
      </c>
      <c r="B56" s="94" t="s">
        <v>126</v>
      </c>
      <c r="I56" s="95">
        <f>I33+I43</f>
        <v>4.143194511148822</v>
      </c>
      <c r="J56" s="95">
        <f>J33+J43</f>
        <v>6.160732818166664</v>
      </c>
      <c r="K56" s="95">
        <f>K33+K43</f>
        <v>4.369202808926296</v>
      </c>
      <c r="L56" s="95">
        <f>L33+L43</f>
        <v>5.505984045022259</v>
      </c>
    </row>
    <row r="57" spans="1:12" s="39" customFormat="1" ht="12.75">
      <c r="A57" s="39">
        <v>7</v>
      </c>
      <c r="B57" s="39" t="s">
        <v>121</v>
      </c>
      <c r="I57" s="97">
        <f>I33+I44</f>
        <v>49.58195868658256</v>
      </c>
      <c r="J57" s="97">
        <f>J33+J44</f>
        <v>125.05658163629688</v>
      </c>
      <c r="K57" s="97">
        <f>K33+K44</f>
        <v>1.253824533318177</v>
      </c>
      <c r="L57" s="97">
        <f>L33+L44</f>
        <v>2.348536825010455</v>
      </c>
    </row>
    <row r="58" spans="1:12" s="39" customFormat="1" ht="12.75">
      <c r="A58" s="39">
        <v>8</v>
      </c>
      <c r="B58" s="39" t="s">
        <v>171</v>
      </c>
      <c r="I58" s="97">
        <f>I33+I45</f>
        <v>0.4383175056590126</v>
      </c>
      <c r="J58" s="97">
        <f>J33+J45</f>
        <v>2.191328040536084</v>
      </c>
      <c r="K58" s="97">
        <f>K33+K45</f>
        <v>0.5747934962250657</v>
      </c>
      <c r="L58" s="97">
        <f>L33+L45</f>
        <v>1.74577376672128</v>
      </c>
    </row>
    <row r="59" spans="1:12" s="39" customFormat="1" ht="12.75">
      <c r="A59" s="39">
        <v>9</v>
      </c>
      <c r="B59" s="39" t="s">
        <v>172</v>
      </c>
      <c r="I59" s="97">
        <f>I33+I46</f>
        <v>0.4383175056590126</v>
      </c>
      <c r="J59" s="97">
        <f>J33+J46</f>
        <v>2.191328040536084</v>
      </c>
      <c r="K59" s="97">
        <f>K33+K46</f>
        <v>0.5768847149987221</v>
      </c>
      <c r="L59" s="97">
        <f>L33+L46</f>
        <v>1.7462658181974344</v>
      </c>
    </row>
    <row r="60" spans="1:12" s="39" customFormat="1" ht="12.75">
      <c r="A60" s="39">
        <v>10</v>
      </c>
      <c r="B60" s="39" t="s">
        <v>122</v>
      </c>
      <c r="I60" s="97">
        <f>I33+I47</f>
        <v>0.6228368092169233</v>
      </c>
      <c r="J60" s="97">
        <f>J33+J47</f>
        <v>4.405559683231013</v>
      </c>
      <c r="K60" s="97">
        <f>K33+K47</f>
        <v>0.75193202764066</v>
      </c>
      <c r="L60" s="97">
        <f>L33+L47</f>
        <v>3.775486105858298</v>
      </c>
    </row>
    <row r="61" spans="1:12" s="39" customFormat="1" ht="12.75">
      <c r="A61" s="39">
        <v>11</v>
      </c>
      <c r="B61" s="39" t="s">
        <v>167</v>
      </c>
      <c r="I61" s="97">
        <f>I33+I48</f>
        <v>1.114888285371352</v>
      </c>
      <c r="J61" s="97">
        <f>J33+J48</f>
        <v>3.519867026153041</v>
      </c>
      <c r="K61" s="97">
        <f>K33+K48</f>
        <v>1.253824533318177</v>
      </c>
      <c r="L61" s="97">
        <f>L33+L48</f>
        <v>2.7913831535494404</v>
      </c>
    </row>
    <row r="62" spans="1:12" s="41" customFormat="1" ht="12.75">
      <c r="A62" s="41">
        <v>12</v>
      </c>
      <c r="B62" s="41" t="s">
        <v>123</v>
      </c>
      <c r="I62" s="97">
        <f>I33+I49</f>
        <v>2.6734204122997225</v>
      </c>
      <c r="J62" s="97">
        <f>J33+J49</f>
        <v>4.8358323439228625</v>
      </c>
      <c r="K62" s="97">
        <f>K33+K49</f>
        <v>2.8123566602465475</v>
      </c>
      <c r="L62" s="97">
        <f>L33+L49</f>
        <v>4.402579357011919</v>
      </c>
    </row>
    <row r="63" spans="1:12" s="94" customFormat="1" ht="12.75">
      <c r="A63" s="94">
        <v>13</v>
      </c>
      <c r="B63" s="94" t="s">
        <v>130</v>
      </c>
      <c r="I63" s="95">
        <f>I34+I38</f>
        <v>76.12216618370925</v>
      </c>
      <c r="J63" s="95">
        <f>J34+J38</f>
        <v>191.22651511168704</v>
      </c>
      <c r="K63" s="95">
        <f>K34+K38</f>
        <v>1.795759730405065</v>
      </c>
      <c r="L63" s="95">
        <f>L34+L38</f>
        <v>2.932540966501029</v>
      </c>
    </row>
    <row r="64" spans="1:12" s="41" customFormat="1" ht="12.75">
      <c r="A64" s="41">
        <v>14</v>
      </c>
      <c r="B64" s="41" t="s">
        <v>405</v>
      </c>
      <c r="I64" s="97">
        <f>I34+I39</f>
        <v>0.516564366903793</v>
      </c>
      <c r="J64" s="97">
        <f>J34+J39</f>
        <v>2.203048041285801</v>
      </c>
      <c r="K64" s="97">
        <f>K34+K39</f>
        <v>0.7510965964156632</v>
      </c>
      <c r="L64" s="97">
        <f>L34+L39</f>
        <v>2.0052131845176824</v>
      </c>
    </row>
    <row r="65" spans="1:12" s="41" customFormat="1" ht="12.75">
      <c r="A65" s="41">
        <v>15</v>
      </c>
      <c r="B65" s="41" t="s">
        <v>173</v>
      </c>
      <c r="I65" s="97">
        <f>I34+I40</f>
        <v>0.516564366903793</v>
      </c>
      <c r="J65" s="97">
        <f>J34+J40</f>
        <v>2.203048041285801</v>
      </c>
      <c r="K65" s="97">
        <f>K34+K40</f>
        <v>0.7543138560674421</v>
      </c>
      <c r="L65" s="97">
        <f>L34+L40</f>
        <v>2.0059701867886894</v>
      </c>
    </row>
    <row r="66" spans="1:12" s="41" customFormat="1" ht="12.75">
      <c r="A66" s="41">
        <v>16</v>
      </c>
      <c r="B66" s="41" t="s">
        <v>131</v>
      </c>
      <c r="I66" s="97">
        <f>I34+I41</f>
        <v>0.516564366903793</v>
      </c>
      <c r="J66" s="97">
        <f>J34+J41</f>
        <v>2.203048041285801</v>
      </c>
      <c r="K66" s="97">
        <f>K34+K41</f>
        <v>0.7543138560674421</v>
      </c>
      <c r="L66" s="97">
        <f>L34+L41</f>
        <v>2.0059701867886894</v>
      </c>
    </row>
    <row r="67" spans="1:12" s="41" customFormat="1" ht="12.75">
      <c r="A67" s="41">
        <v>17</v>
      </c>
      <c r="B67" s="41" t="s">
        <v>174</v>
      </c>
      <c r="I67" s="97">
        <f>I34+I42</f>
        <v>80.96661607525093</v>
      </c>
      <c r="J67" s="97">
        <f>J34+J42</f>
        <v>197.65768949671153</v>
      </c>
      <c r="K67" s="97">
        <f>K34+K42</f>
        <v>6.640209621946735</v>
      </c>
      <c r="L67" s="97">
        <f>L34+L42</f>
        <v>8.45829290194883</v>
      </c>
    </row>
    <row r="68" spans="1:12" s="94" customFormat="1" ht="12.75">
      <c r="A68" s="94">
        <v>18</v>
      </c>
      <c r="B68" s="94" t="s">
        <v>132</v>
      </c>
      <c r="I68" s="95">
        <f>I34+I43</f>
        <v>4.130885568059392</v>
      </c>
      <c r="J68" s="95">
        <f>J34+J43</f>
        <v>6.136114931987802</v>
      </c>
      <c r="K68" s="95">
        <f>K34+K43</f>
        <v>4.369202808926296</v>
      </c>
      <c r="L68" s="95">
        <f>L34+L43</f>
        <v>5.505984045022259</v>
      </c>
    </row>
    <row r="69" spans="1:12" s="39" customFormat="1" ht="12.75">
      <c r="A69" s="39">
        <v>19</v>
      </c>
      <c r="B69" s="39" t="s">
        <v>127</v>
      </c>
      <c r="I69" s="97">
        <f>I34+I44</f>
        <v>49.56964974349313</v>
      </c>
      <c r="J69" s="97">
        <f>J34+J44</f>
        <v>125.03196375011802</v>
      </c>
      <c r="K69" s="97">
        <f>K34+K44</f>
        <v>1.253824533318177</v>
      </c>
      <c r="L69" s="97">
        <f>L34+L44</f>
        <v>2.348536825010455</v>
      </c>
    </row>
    <row r="70" spans="1:12" s="39" customFormat="1" ht="12.75">
      <c r="A70" s="39">
        <v>20</v>
      </c>
      <c r="B70" s="39" t="s">
        <v>175</v>
      </c>
      <c r="I70" s="97">
        <f>I34+I45</f>
        <v>0.42600856256958175</v>
      </c>
      <c r="J70" s="97">
        <f>J34+J45</f>
        <v>2.166710154357223</v>
      </c>
      <c r="K70" s="97">
        <f>K34+K45</f>
        <v>0.5747934962250657</v>
      </c>
      <c r="L70" s="97">
        <f>L34+L45</f>
        <v>1.74577376672128</v>
      </c>
    </row>
    <row r="71" spans="1:12" s="39" customFormat="1" ht="12.75">
      <c r="A71" s="39">
        <v>21</v>
      </c>
      <c r="B71" s="39" t="s">
        <v>176</v>
      </c>
      <c r="I71" s="97">
        <f>I34+I46</f>
        <v>0.42600856256958175</v>
      </c>
      <c r="J71" s="97">
        <f>J34+J46</f>
        <v>2.166710154357223</v>
      </c>
      <c r="K71" s="97">
        <f>K34+K46</f>
        <v>0.5768847149987221</v>
      </c>
      <c r="L71" s="97">
        <f>L34+L46</f>
        <v>1.7462658181974344</v>
      </c>
    </row>
    <row r="72" spans="1:12" s="39" customFormat="1" ht="12.75">
      <c r="A72" s="39">
        <v>22</v>
      </c>
      <c r="B72" s="39" t="s">
        <v>128</v>
      </c>
      <c r="I72" s="97">
        <f>I34+I47</f>
        <v>0.6105278661274924</v>
      </c>
      <c r="J72" s="97">
        <f>J34+J47</f>
        <v>4.380941797052152</v>
      </c>
      <c r="K72" s="97">
        <f>K34+K47</f>
        <v>0.75193202764066</v>
      </c>
      <c r="L72" s="97">
        <f>L34+L47</f>
        <v>3.775486105858298</v>
      </c>
    </row>
    <row r="73" spans="1:12" s="39" customFormat="1" ht="12.75">
      <c r="A73" s="39">
        <v>23</v>
      </c>
      <c r="B73" s="39" t="s">
        <v>177</v>
      </c>
      <c r="I73" s="97">
        <f>I34+I48</f>
        <v>1.102579342281921</v>
      </c>
      <c r="J73" s="97">
        <f>J34+J48</f>
        <v>3.4952491399741796</v>
      </c>
      <c r="K73" s="97">
        <f>K34+K48</f>
        <v>1.253824533318177</v>
      </c>
      <c r="L73" s="97">
        <f>L34+L48</f>
        <v>2.7913831535494404</v>
      </c>
    </row>
    <row r="74" spans="1:12" s="39" customFormat="1" ht="12.75">
      <c r="A74" s="39">
        <v>24</v>
      </c>
      <c r="B74" s="39" t="s">
        <v>129</v>
      </c>
      <c r="I74" s="97">
        <f>I34+I49</f>
        <v>2.6611114692102915</v>
      </c>
      <c r="J74" s="97">
        <f>J34+J49</f>
        <v>4.811214457744001</v>
      </c>
      <c r="K74" s="97">
        <f>K34+K49</f>
        <v>2.8123566602465475</v>
      </c>
      <c r="L74" s="97">
        <f>L34+L49</f>
        <v>4.402579357011919</v>
      </c>
    </row>
    <row r="75" spans="1:12" s="98" customFormat="1" ht="12.75">
      <c r="A75" s="98">
        <v>25</v>
      </c>
      <c r="B75" s="98" t="s">
        <v>136</v>
      </c>
      <c r="I75" s="99">
        <f>I35+I38</f>
        <v>76.57550837039213</v>
      </c>
      <c r="J75" s="99">
        <f>J35+J38</f>
        <v>191.2049743228045</v>
      </c>
      <c r="K75" s="99">
        <f>K35+K38</f>
        <v>1.822524182171804</v>
      </c>
      <c r="L75" s="99">
        <f>L35+L38</f>
        <v>3.0913632253347227</v>
      </c>
    </row>
    <row r="76" spans="1:12" s="39" customFormat="1" ht="12.75">
      <c r="A76" s="39">
        <v>26</v>
      </c>
      <c r="B76" s="39" t="s">
        <v>178</v>
      </c>
      <c r="I76" s="97">
        <f>I35+I39</f>
        <v>0.9699065535866707</v>
      </c>
      <c r="J76" s="97">
        <f>J35+J39</f>
        <v>2.1815072524032715</v>
      </c>
      <c r="K76" s="97">
        <f>K35+K39</f>
        <v>0.777861048182402</v>
      </c>
      <c r="L76" s="97">
        <f>L35+L39</f>
        <v>2.1640354433513767</v>
      </c>
    </row>
    <row r="77" spans="1:12" s="39" customFormat="1" ht="12.75">
      <c r="A77" s="39">
        <v>27</v>
      </c>
      <c r="B77" s="39" t="s">
        <v>137</v>
      </c>
      <c r="I77" s="97">
        <f>I35+I40</f>
        <v>0.9699065535866707</v>
      </c>
      <c r="J77" s="97">
        <f>J35+J40</f>
        <v>2.1815072524032715</v>
      </c>
      <c r="K77" s="97">
        <f>K35+K40</f>
        <v>0.7810783078341809</v>
      </c>
      <c r="L77" s="97">
        <f>L35+L40</f>
        <v>2.1647924456223837</v>
      </c>
    </row>
    <row r="78" spans="1:12" s="39" customFormat="1" ht="12.75">
      <c r="A78" s="39">
        <v>28</v>
      </c>
      <c r="B78" s="39" t="s">
        <v>138</v>
      </c>
      <c r="I78" s="97">
        <f>I35+I41</f>
        <v>0.9699065535866707</v>
      </c>
      <c r="J78" s="97">
        <f>J35+J41</f>
        <v>2.1815072524032715</v>
      </c>
      <c r="K78" s="97">
        <f>K35+K41</f>
        <v>0.7810783078341809</v>
      </c>
      <c r="L78" s="97">
        <f>L35+L41</f>
        <v>2.1647924456223837</v>
      </c>
    </row>
    <row r="79" spans="1:12" s="39" customFormat="1" ht="12.75">
      <c r="A79" s="39">
        <v>29</v>
      </c>
      <c r="B79" s="39" t="s">
        <v>179</v>
      </c>
      <c r="I79" s="97">
        <f>I35+I42</f>
        <v>81.4199582619338</v>
      </c>
      <c r="J79" s="97">
        <f>J35+J42</f>
        <v>197.636148707829</v>
      </c>
      <c r="K79" s="97">
        <f>K35+K42</f>
        <v>6.666974073713473</v>
      </c>
      <c r="L79" s="97">
        <f>L35+L42</f>
        <v>8.617115160782523</v>
      </c>
    </row>
    <row r="80" spans="1:12" s="98" customFormat="1" ht="12.75">
      <c r="A80" s="98">
        <v>30</v>
      </c>
      <c r="B80" s="98" t="s">
        <v>139</v>
      </c>
      <c r="I80" s="99">
        <f>I35+I43</f>
        <v>4.584227754742269</v>
      </c>
      <c r="J80" s="99">
        <f>J35+J43</f>
        <v>6.114574143105273</v>
      </c>
      <c r="K80" s="99">
        <f>K35+K43</f>
        <v>4.395967260693035</v>
      </c>
      <c r="L80" s="99">
        <f>L35+L43</f>
        <v>5.664806303855952</v>
      </c>
    </row>
    <row r="81" spans="1:12" s="39" customFormat="1" ht="12.75">
      <c r="A81" s="39">
        <v>31</v>
      </c>
      <c r="B81" s="39" t="s">
        <v>133</v>
      </c>
      <c r="I81" s="97">
        <f>I35+I44</f>
        <v>50.022991930176005</v>
      </c>
      <c r="J81" s="97">
        <f>J35+J44</f>
        <v>125.01042296123549</v>
      </c>
      <c r="K81" s="97">
        <f>K35+K44</f>
        <v>1.280588985084916</v>
      </c>
      <c r="L81" s="97">
        <f>L35+L44</f>
        <v>2.507359083844149</v>
      </c>
    </row>
    <row r="82" spans="1:12" s="39" customFormat="1" ht="12.75">
      <c r="A82" s="39">
        <v>32</v>
      </c>
      <c r="B82" s="39" t="s">
        <v>180</v>
      </c>
      <c r="I82" s="97">
        <f>I35+I45</f>
        <v>0.8793507492524594</v>
      </c>
      <c r="J82" s="97">
        <f>J35+J45</f>
        <v>2.1451693654746933</v>
      </c>
      <c r="K82" s="97">
        <f>K35+K45</f>
        <v>0.6015579479918045</v>
      </c>
      <c r="L82" s="97">
        <f>L35+L45</f>
        <v>1.9045960255549743</v>
      </c>
    </row>
    <row r="83" spans="1:12" s="39" customFormat="1" ht="12.75">
      <c r="A83" s="39">
        <v>33</v>
      </c>
      <c r="B83" s="39" t="s">
        <v>181</v>
      </c>
      <c r="I83" s="97">
        <f>I35+I46</f>
        <v>0.8793507492524594</v>
      </c>
      <c r="J83" s="97">
        <f>J35+J46</f>
        <v>2.1451693654746933</v>
      </c>
      <c r="K83" s="97">
        <f>K35+K46</f>
        <v>0.6036491667654609</v>
      </c>
      <c r="L83" s="97">
        <f>L35+L46</f>
        <v>1.9050880770311287</v>
      </c>
    </row>
    <row r="84" spans="1:12" s="39" customFormat="1" ht="12.75">
      <c r="A84" s="39">
        <v>34</v>
      </c>
      <c r="B84" s="39" t="s">
        <v>134</v>
      </c>
      <c r="I84" s="97">
        <f>I35+I47</f>
        <v>1.06387005281037</v>
      </c>
      <c r="J84" s="97">
        <f>J35+J47</f>
        <v>4.359401008169622</v>
      </c>
      <c r="K84" s="97">
        <f>K35+K47</f>
        <v>0.7786964794073988</v>
      </c>
      <c r="L84" s="97">
        <f>L35+L47</f>
        <v>3.934308364691992</v>
      </c>
    </row>
    <row r="85" spans="1:12" s="39" customFormat="1" ht="12.75">
      <c r="A85" s="39">
        <v>35</v>
      </c>
      <c r="B85" s="39" t="s">
        <v>182</v>
      </c>
      <c r="I85" s="97">
        <f>I35+I48</f>
        <v>1.5559215289647987</v>
      </c>
      <c r="J85" s="97">
        <f>J35+J48</f>
        <v>3.47370835109165</v>
      </c>
      <c r="K85" s="97">
        <f>K35+K48</f>
        <v>1.280588985084916</v>
      </c>
      <c r="L85" s="97">
        <f>L35+L48</f>
        <v>2.9502054123831347</v>
      </c>
    </row>
    <row r="86" spans="1:12" s="39" customFormat="1" ht="12.75">
      <c r="A86" s="39">
        <v>36</v>
      </c>
      <c r="B86" s="39" t="s">
        <v>135</v>
      </c>
      <c r="I86" s="97">
        <f>I35+I49</f>
        <v>3.1144536558931692</v>
      </c>
      <c r="J86" s="97">
        <f>J35+J49</f>
        <v>4.789673668861472</v>
      </c>
      <c r="K86" s="97">
        <f>K35+K49</f>
        <v>2.839121112013286</v>
      </c>
      <c r="L86" s="97">
        <f>L35+L49</f>
        <v>4.561401615845613</v>
      </c>
    </row>
    <row r="87" spans="1:12" s="98" customFormat="1" ht="12.75">
      <c r="A87" s="98">
        <v>37</v>
      </c>
      <c r="B87" s="98" t="s">
        <v>143</v>
      </c>
      <c r="I87" s="99">
        <f>I36+I38</f>
        <v>76.56319942730269</v>
      </c>
      <c r="J87" s="99">
        <f>J36+J38</f>
        <v>191.18035643662563</v>
      </c>
      <c r="K87" s="99">
        <f>K36+K38</f>
        <v>1.822524182171804</v>
      </c>
      <c r="L87" s="99">
        <f>L36+L38</f>
        <v>3.0913632253347227</v>
      </c>
    </row>
    <row r="88" spans="1:12" s="39" customFormat="1" ht="12.75">
      <c r="A88" s="39">
        <v>38</v>
      </c>
      <c r="B88" s="39" t="s">
        <v>183</v>
      </c>
      <c r="I88" s="97">
        <f>I36+I39</f>
        <v>0.9575976104972399</v>
      </c>
      <c r="J88" s="97">
        <f>J36+J39</f>
        <v>2.1568893662244095</v>
      </c>
      <c r="K88" s="97">
        <f>K36+K39</f>
        <v>0.777861048182402</v>
      </c>
      <c r="L88" s="97">
        <f>L36+L39</f>
        <v>2.1640354433513767</v>
      </c>
    </row>
    <row r="89" spans="1:12" s="39" customFormat="1" ht="12.75">
      <c r="A89" s="39">
        <v>39</v>
      </c>
      <c r="B89" s="39" t="s">
        <v>144</v>
      </c>
      <c r="I89" s="97">
        <f>I36+I40</f>
        <v>0.9575976104972399</v>
      </c>
      <c r="J89" s="97">
        <f>J36+J40</f>
        <v>2.1568893662244095</v>
      </c>
      <c r="K89" s="97">
        <f>K36+K40</f>
        <v>0.7810783078341809</v>
      </c>
      <c r="L89" s="97">
        <f>L36+L40</f>
        <v>2.1647924456223837</v>
      </c>
    </row>
    <row r="90" spans="1:12" s="39" customFormat="1" ht="12.75">
      <c r="A90" s="39">
        <v>40</v>
      </c>
      <c r="B90" s="39" t="s">
        <v>145</v>
      </c>
      <c r="I90" s="97">
        <f>I36+I41</f>
        <v>0.9575976104972399</v>
      </c>
      <c r="J90" s="97">
        <f>J36+J41</f>
        <v>2.1568893662244095</v>
      </c>
      <c r="K90" s="97">
        <f>K36+K41</f>
        <v>0.7810783078341809</v>
      </c>
      <c r="L90" s="97">
        <f>L36+L41</f>
        <v>2.1647924456223837</v>
      </c>
    </row>
    <row r="91" spans="1:12" s="39" customFormat="1" ht="12.75">
      <c r="A91" s="39">
        <v>41</v>
      </c>
      <c r="B91" s="39" t="s">
        <v>184</v>
      </c>
      <c r="I91" s="97">
        <f>I36+I42</f>
        <v>81.40764931884436</v>
      </c>
      <c r="J91" s="97">
        <f>J36+J42</f>
        <v>197.61153082165012</v>
      </c>
      <c r="K91" s="97">
        <f>K36+K42</f>
        <v>6.666974073713473</v>
      </c>
      <c r="L91" s="97">
        <f>L36+L42</f>
        <v>8.617115160782523</v>
      </c>
    </row>
    <row r="92" spans="1:12" s="98" customFormat="1" ht="12.75">
      <c r="A92" s="98">
        <v>42</v>
      </c>
      <c r="B92" s="98" t="s">
        <v>146</v>
      </c>
      <c r="I92" s="99">
        <f>I36+I43</f>
        <v>4.571918811652838</v>
      </c>
      <c r="J92" s="99">
        <f>J36+J43</f>
        <v>6.089956256926411</v>
      </c>
      <c r="K92" s="99">
        <f>K36+K43</f>
        <v>4.395967260693035</v>
      </c>
      <c r="L92" s="99">
        <f>L36+L43</f>
        <v>5.664806303855952</v>
      </c>
    </row>
    <row r="93" spans="1:12" s="39" customFormat="1" ht="12.75">
      <c r="A93" s="39">
        <v>43</v>
      </c>
      <c r="B93" s="39" t="s">
        <v>140</v>
      </c>
      <c r="I93" s="97">
        <f>I36+I44</f>
        <v>50.010682987086575</v>
      </c>
      <c r="J93" s="97">
        <f>J36+J44</f>
        <v>124.98580507505663</v>
      </c>
      <c r="K93" s="97">
        <f>K36+K44</f>
        <v>1.280588985084916</v>
      </c>
      <c r="L93" s="97">
        <f>L36+L44</f>
        <v>2.507359083844149</v>
      </c>
    </row>
    <row r="94" spans="1:12" s="39" customFormat="1" ht="12.75">
      <c r="A94" s="39">
        <v>44</v>
      </c>
      <c r="B94" s="39" t="s">
        <v>185</v>
      </c>
      <c r="I94" s="97">
        <f>I36+I45</f>
        <v>0.8670418061630285</v>
      </c>
      <c r="J94" s="97">
        <f>J36+J45</f>
        <v>2.1205514792958318</v>
      </c>
      <c r="K94" s="97">
        <f>K36+K45</f>
        <v>0.6015579479918045</v>
      </c>
      <c r="L94" s="97">
        <f>L36+L45</f>
        <v>1.9045960255549743</v>
      </c>
    </row>
    <row r="95" spans="1:12" s="39" customFormat="1" ht="12.75">
      <c r="A95" s="39">
        <v>45</v>
      </c>
      <c r="B95" s="39" t="s">
        <v>186</v>
      </c>
      <c r="I95" s="97">
        <f>I36+I46</f>
        <v>0.8670418061630285</v>
      </c>
      <c r="J95" s="97">
        <f>J36+J46</f>
        <v>2.1205514792958318</v>
      </c>
      <c r="K95" s="97">
        <f>K36+K46</f>
        <v>0.6036491667654609</v>
      </c>
      <c r="L95" s="97">
        <f>L36+L46</f>
        <v>1.9050880770311287</v>
      </c>
    </row>
    <row r="96" spans="1:12" s="39" customFormat="1" ht="12.75">
      <c r="A96" s="39">
        <v>46</v>
      </c>
      <c r="B96" s="39" t="s">
        <v>141</v>
      </c>
      <c r="I96" s="97">
        <f>I36+I47</f>
        <v>1.0515611097209392</v>
      </c>
      <c r="J96" s="97">
        <f>J36+J47</f>
        <v>4.33478312199076</v>
      </c>
      <c r="K96" s="97">
        <f>K36+K47</f>
        <v>0.7786964794073988</v>
      </c>
      <c r="L96" s="97">
        <f>L36+L47</f>
        <v>3.934308364691992</v>
      </c>
    </row>
    <row r="97" spans="1:12" s="39" customFormat="1" ht="12.75">
      <c r="A97" s="39">
        <v>47</v>
      </c>
      <c r="B97" s="39" t="s">
        <v>187</v>
      </c>
      <c r="I97" s="97">
        <f>I36+I48</f>
        <v>1.5436125858753678</v>
      </c>
      <c r="J97" s="97">
        <f>J36+J48</f>
        <v>3.4490904649127883</v>
      </c>
      <c r="K97" s="97">
        <f>K36+K48</f>
        <v>1.280588985084916</v>
      </c>
      <c r="L97" s="97">
        <f>L36+L48</f>
        <v>2.9502054123831347</v>
      </c>
    </row>
    <row r="98" spans="1:12" s="39" customFormat="1" ht="12.75">
      <c r="A98" s="39">
        <v>48</v>
      </c>
      <c r="B98" s="39" t="s">
        <v>142</v>
      </c>
      <c r="I98" s="97">
        <f>I36+I49</f>
        <v>3.1021447128037383</v>
      </c>
      <c r="J98" s="97">
        <f>J36+J49</f>
        <v>4.76505578268261</v>
      </c>
      <c r="K98" s="97">
        <f>K36+K49</f>
        <v>2.839121112013286</v>
      </c>
      <c r="L98" s="97">
        <f>L36+L49</f>
        <v>4.561401615845613</v>
      </c>
    </row>
  </sheetData>
  <printOptions/>
  <pageMargins left="0.25" right="0.25" top="0.5" bottom="0.5" header="0.5" footer="0.5"/>
  <pageSetup fitToHeight="1" fitToWidth="1" horizontalDpi="600" verticalDpi="600" orientation="landscape" scale="53" r:id="rId2"/>
  <drawing r:id="rId1"/>
</worksheet>
</file>

<file path=xl/worksheets/sheet4.xml><?xml version="1.0" encoding="utf-8"?>
<worksheet xmlns="http://schemas.openxmlformats.org/spreadsheetml/2006/main" xmlns:r="http://schemas.openxmlformats.org/officeDocument/2006/relationships">
  <dimension ref="A1:T29"/>
  <sheetViews>
    <sheetView workbookViewId="0" topLeftCell="A1">
      <selection activeCell="A4" sqref="A4:G15"/>
    </sheetView>
  </sheetViews>
  <sheetFormatPr defaultColWidth="9.140625" defaultRowHeight="12.75"/>
  <cols>
    <col min="1" max="1" width="36.140625" style="41" customWidth="1"/>
    <col min="2" max="5" width="7.140625" style="41" customWidth="1"/>
    <col min="6" max="6" width="36.28125" style="41" customWidth="1"/>
    <col min="7" max="7" width="31.140625" style="41" customWidth="1"/>
    <col min="8" max="16384" width="9.140625" style="41" customWidth="1"/>
  </cols>
  <sheetData>
    <row r="1" spans="1:5" ht="12.75">
      <c r="A1" s="42" t="s">
        <v>231</v>
      </c>
      <c r="B1" s="1"/>
      <c r="C1" s="1"/>
      <c r="D1" s="1"/>
      <c r="E1" s="1"/>
    </row>
    <row r="2" spans="1:5" ht="12.75">
      <c r="A2" s="42" t="s">
        <v>55</v>
      </c>
      <c r="B2" s="1"/>
      <c r="C2" s="1"/>
      <c r="D2" s="1"/>
      <c r="E2" s="1"/>
    </row>
    <row r="3" spans="1:5" ht="12.75">
      <c r="A3" s="1"/>
      <c r="B3" s="1"/>
      <c r="C3" s="1"/>
      <c r="D3" s="1"/>
      <c r="E3" s="1"/>
    </row>
    <row r="4" spans="1:5" ht="12.75">
      <c r="A4" s="165" t="s">
        <v>232</v>
      </c>
      <c r="B4" s="154" t="s">
        <v>56</v>
      </c>
      <c r="C4" s="155"/>
      <c r="D4" s="166" t="s">
        <v>57</v>
      </c>
      <c r="E4" s="155"/>
    </row>
    <row r="5" spans="1:5" ht="12.75">
      <c r="A5" s="167"/>
      <c r="B5" s="157" t="s">
        <v>48</v>
      </c>
      <c r="C5" s="158"/>
      <c r="D5" s="168" t="s">
        <v>48</v>
      </c>
      <c r="E5" s="158"/>
    </row>
    <row r="6" spans="1:7" ht="12.75">
      <c r="A6" s="3" t="s">
        <v>2</v>
      </c>
      <c r="B6" s="3" t="s">
        <v>0</v>
      </c>
      <c r="C6" s="3" t="s">
        <v>1</v>
      </c>
      <c r="D6" s="3" t="s">
        <v>0</v>
      </c>
      <c r="E6" s="3" t="s">
        <v>1</v>
      </c>
      <c r="F6" s="3" t="s">
        <v>53</v>
      </c>
      <c r="G6" s="3" t="s">
        <v>88</v>
      </c>
    </row>
    <row r="7" spans="1:5" ht="14.25" customHeight="1">
      <c r="A7" s="45"/>
      <c r="B7" s="18"/>
      <c r="C7" s="78"/>
      <c r="D7" s="18"/>
      <c r="E7" s="78"/>
    </row>
    <row r="8" spans="1:7" ht="38.25">
      <c r="A8" s="161" t="s">
        <v>395</v>
      </c>
      <c r="B8" s="162">
        <v>0</v>
      </c>
      <c r="C8" s="162">
        <v>3.49</v>
      </c>
      <c r="D8" s="20">
        <v>0</v>
      </c>
      <c r="E8" s="74">
        <v>3.49</v>
      </c>
      <c r="F8" s="20" t="s">
        <v>384</v>
      </c>
      <c r="G8" s="20" t="s">
        <v>362</v>
      </c>
    </row>
    <row r="9" spans="1:7" ht="38.25">
      <c r="A9" s="161" t="s">
        <v>396</v>
      </c>
      <c r="B9" s="74">
        <v>0</v>
      </c>
      <c r="C9" s="162">
        <v>3.49</v>
      </c>
      <c r="D9" s="20">
        <v>0</v>
      </c>
      <c r="E9" s="162">
        <v>3.49</v>
      </c>
      <c r="F9" s="20" t="s">
        <v>384</v>
      </c>
      <c r="G9" s="20" t="s">
        <v>362</v>
      </c>
    </row>
    <row r="10" spans="1:7" ht="127.5">
      <c r="A10" s="16" t="s">
        <v>397</v>
      </c>
      <c r="B10" s="20">
        <v>0</v>
      </c>
      <c r="C10" s="74">
        <v>54</v>
      </c>
      <c r="D10" s="20">
        <v>0</v>
      </c>
      <c r="E10" s="74">
        <v>0.246</v>
      </c>
      <c r="F10" s="20" t="s">
        <v>391</v>
      </c>
      <c r="G10" s="20" t="s">
        <v>390</v>
      </c>
    </row>
    <row r="11" spans="1:7" ht="25.5">
      <c r="A11" s="16" t="s">
        <v>398</v>
      </c>
      <c r="B11" s="20">
        <v>0</v>
      </c>
      <c r="C11" s="162">
        <v>17.03</v>
      </c>
      <c r="D11" s="20">
        <v>0</v>
      </c>
      <c r="E11" s="162">
        <v>17.03</v>
      </c>
      <c r="F11" s="20"/>
      <c r="G11" s="20" t="s">
        <v>401</v>
      </c>
    </row>
    <row r="12" spans="1:20" ht="89.25">
      <c r="A12" s="16" t="s">
        <v>383</v>
      </c>
      <c r="B12" s="20">
        <v>0</v>
      </c>
      <c r="C12" s="74">
        <v>0</v>
      </c>
      <c r="D12" s="20">
        <v>0</v>
      </c>
      <c r="E12" s="74">
        <v>0</v>
      </c>
      <c r="F12" s="20" t="s">
        <v>388</v>
      </c>
      <c r="G12" s="20" t="s">
        <v>389</v>
      </c>
      <c r="H12" s="88"/>
      <c r="I12" s="88"/>
      <c r="J12" s="88"/>
      <c r="K12" s="88"/>
      <c r="L12" s="88"/>
      <c r="M12" s="88"/>
      <c r="N12" s="88"/>
      <c r="O12" s="88"/>
      <c r="P12" s="88"/>
      <c r="Q12" s="88"/>
      <c r="R12" s="88"/>
      <c r="S12" s="88"/>
      <c r="T12" s="88"/>
    </row>
    <row r="13" spans="1:12" ht="25.5">
      <c r="A13" s="16" t="s">
        <v>392</v>
      </c>
      <c r="B13" s="163"/>
      <c r="C13" s="32"/>
      <c r="D13" s="163"/>
      <c r="E13" s="32"/>
      <c r="F13" s="32"/>
      <c r="G13" s="20"/>
      <c r="H13" s="1"/>
      <c r="I13" s="1"/>
      <c r="J13" s="1"/>
      <c r="K13" s="1"/>
      <c r="L13" s="1"/>
    </row>
    <row r="14" spans="1:7" ht="12.75">
      <c r="A14" s="16" t="s">
        <v>393</v>
      </c>
      <c r="B14" s="164">
        <v>7.7</v>
      </c>
      <c r="C14" s="9">
        <v>14.1</v>
      </c>
      <c r="D14" s="164">
        <v>7.7</v>
      </c>
      <c r="E14" s="9">
        <v>14.1</v>
      </c>
      <c r="F14" s="32"/>
      <c r="G14" s="32"/>
    </row>
    <row r="15" spans="1:7" ht="12.75">
      <c r="A15" s="16" t="s">
        <v>394</v>
      </c>
      <c r="B15" s="164">
        <v>0</v>
      </c>
      <c r="C15" s="9">
        <v>0.019</v>
      </c>
      <c r="D15" s="164">
        <v>0</v>
      </c>
      <c r="E15" s="9">
        <v>0.019</v>
      </c>
      <c r="F15" s="32"/>
      <c r="G15" s="32"/>
    </row>
    <row r="16" spans="1:5" ht="12.75">
      <c r="A16" s="45"/>
      <c r="B16" s="78"/>
      <c r="C16" s="85"/>
      <c r="D16" s="18"/>
      <c r="E16" s="85"/>
    </row>
    <row r="17" spans="1:5" ht="12.75">
      <c r="A17" s="75" t="s">
        <v>233</v>
      </c>
      <c r="B17" s="75"/>
      <c r="C17" s="75"/>
      <c r="D17" s="75"/>
      <c r="E17" s="75"/>
    </row>
    <row r="18" spans="1:5" ht="12.75">
      <c r="A18" s="19"/>
      <c r="B18" s="1"/>
      <c r="C18" s="1"/>
      <c r="D18" s="19"/>
      <c r="E18" s="1"/>
    </row>
    <row r="19" spans="1:5" ht="51">
      <c r="A19" s="1"/>
      <c r="B19" s="76" t="s">
        <v>42</v>
      </c>
      <c r="C19" s="76"/>
      <c r="D19" s="76" t="s">
        <v>43</v>
      </c>
      <c r="E19" s="76"/>
    </row>
    <row r="20" spans="1:5" ht="12.75">
      <c r="A20" s="1"/>
      <c r="B20" s="77" t="s">
        <v>0</v>
      </c>
      <c r="C20" s="77" t="s">
        <v>1</v>
      </c>
      <c r="D20" s="77" t="s">
        <v>0</v>
      </c>
      <c r="E20" s="77" t="s">
        <v>1</v>
      </c>
    </row>
    <row r="21" spans="1:5" ht="12.75">
      <c r="A21" s="78" t="s">
        <v>399</v>
      </c>
      <c r="B21" s="41">
        <f>B9+B10</f>
        <v>0</v>
      </c>
      <c r="C21" s="41">
        <f>C9+C10</f>
        <v>57.49</v>
      </c>
      <c r="D21" s="41">
        <f>D9+D10</f>
        <v>0</v>
      </c>
      <c r="E21" s="41">
        <f>E9+E10</f>
        <v>3.736</v>
      </c>
    </row>
    <row r="22" spans="1:5" ht="12.75">
      <c r="A22" s="78" t="s">
        <v>385</v>
      </c>
      <c r="B22" s="41">
        <f>B9+B12</f>
        <v>0</v>
      </c>
      <c r="C22" s="41">
        <f>C9+C12</f>
        <v>3.49</v>
      </c>
      <c r="D22" s="41">
        <f>D9+D12</f>
        <v>0</v>
      </c>
      <c r="E22" s="41">
        <f>E9+E12</f>
        <v>3.49</v>
      </c>
    </row>
    <row r="23" spans="1:5" ht="12.75">
      <c r="A23" s="78" t="s">
        <v>400</v>
      </c>
      <c r="B23" s="41">
        <f>B8+B10</f>
        <v>0</v>
      </c>
      <c r="C23" s="41">
        <f>C8+C10</f>
        <v>57.49</v>
      </c>
      <c r="D23" s="41">
        <f>D8+D10</f>
        <v>0</v>
      </c>
      <c r="E23" s="41">
        <f>E8+E10</f>
        <v>3.736</v>
      </c>
    </row>
    <row r="24" spans="1:5" ht="12.75">
      <c r="A24" s="85" t="s">
        <v>386</v>
      </c>
      <c r="B24" s="41">
        <f>B9+B12</f>
        <v>0</v>
      </c>
      <c r="C24" s="41">
        <f>C9+C12</f>
        <v>3.49</v>
      </c>
      <c r="D24" s="41">
        <f>D9+D12</f>
        <v>0</v>
      </c>
      <c r="E24" s="41">
        <f>E9+E12</f>
        <v>3.49</v>
      </c>
    </row>
    <row r="25" spans="1:5" ht="12.75">
      <c r="A25" s="85" t="s">
        <v>402</v>
      </c>
      <c r="B25" s="41">
        <v>0</v>
      </c>
      <c r="C25" s="41">
        <f>17.03+3.49</f>
        <v>20.520000000000003</v>
      </c>
      <c r="D25" s="41">
        <v>0</v>
      </c>
      <c r="E25" s="41">
        <v>20.52</v>
      </c>
    </row>
    <row r="26" spans="1:5" ht="12.75">
      <c r="A26" s="85" t="s">
        <v>403</v>
      </c>
      <c r="B26" s="41">
        <v>0</v>
      </c>
      <c r="C26" s="41">
        <v>20.52</v>
      </c>
      <c r="D26" s="41">
        <v>0</v>
      </c>
      <c r="E26" s="41">
        <v>20.52</v>
      </c>
    </row>
    <row r="27" ht="12.75">
      <c r="A27" s="85"/>
    </row>
    <row r="28" ht="12.75">
      <c r="A28" s="107" t="s">
        <v>355</v>
      </c>
    </row>
    <row r="29" ht="12.75">
      <c r="A29" s="85" t="s">
        <v>387</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K20"/>
  <sheetViews>
    <sheetView workbookViewId="0" topLeftCell="A1">
      <selection activeCell="K18" sqref="K18"/>
    </sheetView>
  </sheetViews>
  <sheetFormatPr defaultColWidth="9.140625" defaultRowHeight="12.75"/>
  <cols>
    <col min="1" max="1" width="2.8515625" style="41" customWidth="1"/>
    <col min="2" max="2" width="29.57421875" style="41" customWidth="1"/>
    <col min="3" max="6" width="8.421875" style="41" customWidth="1"/>
    <col min="7" max="10" width="8.57421875" style="41" customWidth="1"/>
    <col min="11" max="11" width="15.00390625" style="41" customWidth="1"/>
    <col min="12" max="16384" width="9.140625" style="41" customWidth="1"/>
  </cols>
  <sheetData>
    <row r="1" ht="12.75">
      <c r="B1" s="4" t="s">
        <v>66</v>
      </c>
    </row>
    <row r="2" ht="12.75">
      <c r="B2" s="4" t="s">
        <v>55</v>
      </c>
    </row>
    <row r="4" spans="2:6" ht="12.75">
      <c r="B4" s="153" t="s">
        <v>67</v>
      </c>
      <c r="C4" s="154" t="s">
        <v>56</v>
      </c>
      <c r="D4" s="155"/>
      <c r="E4" s="154" t="s">
        <v>57</v>
      </c>
      <c r="F4" s="155"/>
    </row>
    <row r="5" spans="2:6" ht="13.5" thickBot="1">
      <c r="B5" s="156"/>
      <c r="C5" s="157" t="s">
        <v>48</v>
      </c>
      <c r="D5" s="158"/>
      <c r="E5" s="157" t="s">
        <v>48</v>
      </c>
      <c r="F5" s="158"/>
    </row>
    <row r="6" spans="2:8" ht="12.75">
      <c r="B6" s="11" t="s">
        <v>2</v>
      </c>
      <c r="C6" s="3" t="s">
        <v>0</v>
      </c>
      <c r="D6" s="3" t="s">
        <v>1</v>
      </c>
      <c r="E6" s="3" t="s">
        <v>0</v>
      </c>
      <c r="F6" s="12" t="s">
        <v>1</v>
      </c>
      <c r="G6" s="3" t="s">
        <v>53</v>
      </c>
      <c r="H6" s="3" t="s">
        <v>88</v>
      </c>
    </row>
    <row r="7" spans="2:8" s="39" customFormat="1" ht="26.25" customHeight="1">
      <c r="B7" s="169" t="s">
        <v>68</v>
      </c>
      <c r="C7" s="9">
        <v>208.8</v>
      </c>
      <c r="D7" s="9">
        <v>208.8</v>
      </c>
      <c r="E7" s="9">
        <v>0.18</v>
      </c>
      <c r="F7" s="9">
        <v>14.4</v>
      </c>
      <c r="G7" s="217" t="s">
        <v>382</v>
      </c>
      <c r="H7" s="9" t="s">
        <v>369</v>
      </c>
    </row>
    <row r="8" spans="2:8" ht="26.25" customHeight="1">
      <c r="B8" s="169" t="s">
        <v>69</v>
      </c>
      <c r="C8" s="32">
        <v>162</v>
      </c>
      <c r="D8" s="82">
        <v>162</v>
      </c>
      <c r="E8" s="25">
        <v>0.036000000000000004</v>
      </c>
      <c r="F8" s="25">
        <v>2.52</v>
      </c>
      <c r="G8" s="217"/>
      <c r="H8" s="9" t="s">
        <v>369</v>
      </c>
    </row>
    <row r="10" spans="2:10" ht="18">
      <c r="B10" s="173" t="s">
        <v>70</v>
      </c>
      <c r="C10" s="66"/>
      <c r="D10" s="66"/>
      <c r="E10" s="66"/>
      <c r="F10" s="66"/>
      <c r="G10" s="32"/>
      <c r="H10" s="32"/>
      <c r="I10" s="32"/>
      <c r="J10" s="32"/>
    </row>
    <row r="11" spans="1:10" ht="38.25">
      <c r="A11" s="68"/>
      <c r="B11" s="68"/>
      <c r="C11" s="87"/>
      <c r="D11" s="87"/>
      <c r="E11" s="87"/>
      <c r="F11" s="176"/>
      <c r="G11" s="70" t="s">
        <v>42</v>
      </c>
      <c r="H11" s="170"/>
      <c r="I11" s="170" t="s">
        <v>43</v>
      </c>
      <c r="J11" s="170"/>
    </row>
    <row r="12" spans="1:10" ht="12.75">
      <c r="A12" s="83"/>
      <c r="B12" s="72"/>
      <c r="C12" s="88"/>
      <c r="D12" s="88"/>
      <c r="E12" s="88"/>
      <c r="F12" s="177"/>
      <c r="G12" s="172" t="s">
        <v>0</v>
      </c>
      <c r="H12" s="73" t="s">
        <v>1</v>
      </c>
      <c r="I12" s="73" t="s">
        <v>0</v>
      </c>
      <c r="J12" s="73" t="s">
        <v>1</v>
      </c>
    </row>
    <row r="13" spans="1:10" s="1" customFormat="1" ht="12.75">
      <c r="A13" s="1">
        <v>1</v>
      </c>
      <c r="B13" s="174" t="s">
        <v>73</v>
      </c>
      <c r="C13" s="175"/>
      <c r="D13" s="175"/>
      <c r="E13" s="175"/>
      <c r="F13" s="175"/>
      <c r="G13" s="9">
        <f>C7</f>
        <v>208.8</v>
      </c>
      <c r="H13" s="9">
        <v>208.8</v>
      </c>
      <c r="I13" s="13">
        <v>0.18</v>
      </c>
      <c r="J13" s="13">
        <v>82.7</v>
      </c>
    </row>
    <row r="14" spans="1:10" s="1" customFormat="1" ht="12.75">
      <c r="A14" s="1">
        <v>2</v>
      </c>
      <c r="B14" s="74" t="s">
        <v>74</v>
      </c>
      <c r="C14" s="32"/>
      <c r="D14" s="32"/>
      <c r="E14" s="32"/>
      <c r="F14" s="32"/>
      <c r="G14" s="9">
        <v>208.8</v>
      </c>
      <c r="H14" s="9">
        <v>208.8</v>
      </c>
      <c r="I14" s="13">
        <v>1.94</v>
      </c>
      <c r="J14" s="13">
        <v>209</v>
      </c>
    </row>
    <row r="15" spans="1:10" s="1" customFormat="1" ht="12.75">
      <c r="A15" s="1">
        <v>3</v>
      </c>
      <c r="B15" s="74" t="s">
        <v>75</v>
      </c>
      <c r="C15" s="32"/>
      <c r="D15" s="32"/>
      <c r="E15" s="32"/>
      <c r="F15" s="32"/>
      <c r="G15" s="82">
        <v>162</v>
      </c>
      <c r="H15" s="82">
        <v>162</v>
      </c>
      <c r="I15" s="13">
        <v>0.036</v>
      </c>
      <c r="J15" s="13">
        <v>122</v>
      </c>
    </row>
    <row r="16" spans="1:10" s="1" customFormat="1" ht="12.75">
      <c r="A16" s="1">
        <v>4</v>
      </c>
      <c r="B16" s="74" t="s">
        <v>76</v>
      </c>
      <c r="C16" s="32"/>
      <c r="D16" s="32"/>
      <c r="E16" s="32"/>
      <c r="F16" s="32"/>
      <c r="G16" s="82">
        <v>162</v>
      </c>
      <c r="H16" s="82">
        <v>162</v>
      </c>
      <c r="I16" s="13">
        <v>3.6</v>
      </c>
      <c r="J16" s="13">
        <v>162</v>
      </c>
    </row>
    <row r="17" spans="1:11" s="1" customFormat="1" ht="76.5">
      <c r="A17" s="1">
        <v>5</v>
      </c>
      <c r="B17" s="74" t="s">
        <v>71</v>
      </c>
      <c r="C17" s="32"/>
      <c r="D17" s="32"/>
      <c r="E17" s="32"/>
      <c r="F17" s="32"/>
      <c r="G17" s="13">
        <v>0</v>
      </c>
      <c r="H17" s="13">
        <v>0</v>
      </c>
      <c r="I17" s="13">
        <v>0</v>
      </c>
      <c r="J17" s="13">
        <v>0</v>
      </c>
      <c r="K17" s="18" t="s">
        <v>72</v>
      </c>
    </row>
    <row r="18" spans="1:11" s="1" customFormat="1" ht="89.25">
      <c r="A18" s="1">
        <v>6</v>
      </c>
      <c r="B18" s="162" t="s">
        <v>77</v>
      </c>
      <c r="C18" s="32"/>
      <c r="D18" s="32"/>
      <c r="E18" s="32"/>
      <c r="F18" s="32"/>
      <c r="G18" s="13">
        <v>0</v>
      </c>
      <c r="H18" s="13">
        <v>0</v>
      </c>
      <c r="I18" s="171">
        <v>0</v>
      </c>
      <c r="J18" s="171">
        <v>0</v>
      </c>
      <c r="K18" s="18" t="s">
        <v>78</v>
      </c>
    </row>
    <row r="19" s="1" customFormat="1" ht="12.75">
      <c r="A19" s="1">
        <v>7</v>
      </c>
    </row>
    <row r="20" spans="1:3" ht="12.75">
      <c r="A20" s="18"/>
      <c r="B20" s="1"/>
      <c r="C20" s="19"/>
    </row>
  </sheetData>
  <mergeCells count="1">
    <mergeCell ref="G7:G8"/>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G49"/>
  <sheetViews>
    <sheetView workbookViewId="0" topLeftCell="A1">
      <selection activeCell="A4" sqref="A4:G22"/>
    </sheetView>
  </sheetViews>
  <sheetFormatPr defaultColWidth="9.140625" defaultRowHeight="12.75"/>
  <cols>
    <col min="1" max="1" width="29.421875" style="41" customWidth="1"/>
    <col min="2" max="5" width="8.140625" style="41" customWidth="1"/>
    <col min="6" max="6" width="30.28125" style="41" customWidth="1"/>
    <col min="7" max="7" width="15.140625" style="41" customWidth="1"/>
    <col min="8" max="16384" width="9.140625" style="41" customWidth="1"/>
  </cols>
  <sheetData>
    <row r="1" spans="1:5" ht="12.75">
      <c r="A1" s="42" t="s">
        <v>222</v>
      </c>
      <c r="B1" s="1"/>
      <c r="C1" s="1"/>
      <c r="D1" s="1"/>
      <c r="E1" s="1"/>
    </row>
    <row r="2" spans="1:5" ht="12.75">
      <c r="A2" s="42" t="s">
        <v>55</v>
      </c>
      <c r="B2" s="1"/>
      <c r="C2" s="1"/>
      <c r="D2" s="1"/>
      <c r="E2" s="1"/>
    </row>
    <row r="3" spans="1:5" ht="12.75">
      <c r="A3" s="1"/>
      <c r="B3" s="1"/>
      <c r="C3" s="1"/>
      <c r="D3" s="1"/>
      <c r="E3" s="1"/>
    </row>
    <row r="4" spans="1:5" ht="12.75">
      <c r="A4" s="165" t="s">
        <v>223</v>
      </c>
      <c r="B4" s="166" t="s">
        <v>56</v>
      </c>
      <c r="C4" s="166"/>
      <c r="D4" s="166" t="s">
        <v>57</v>
      </c>
      <c r="E4" s="155"/>
    </row>
    <row r="5" spans="1:5" ht="12.75">
      <c r="A5" s="167"/>
      <c r="B5" s="168" t="s">
        <v>48</v>
      </c>
      <c r="C5" s="168"/>
      <c r="D5" s="168" t="s">
        <v>48</v>
      </c>
      <c r="E5" s="158"/>
    </row>
    <row r="6" spans="1:7" ht="12.75">
      <c r="A6" s="3" t="s">
        <v>2</v>
      </c>
      <c r="B6" s="187" t="s">
        <v>0</v>
      </c>
      <c r="C6" s="187" t="s">
        <v>1</v>
      </c>
      <c r="D6" s="187" t="s">
        <v>0</v>
      </c>
      <c r="E6" s="187" t="s">
        <v>1</v>
      </c>
      <c r="F6" s="187" t="s">
        <v>275</v>
      </c>
      <c r="G6" s="187" t="s">
        <v>276</v>
      </c>
    </row>
    <row r="7" spans="1:7" ht="12.75">
      <c r="A7" s="16" t="s">
        <v>303</v>
      </c>
      <c r="B7" s="44">
        <v>0.08364875094625285</v>
      </c>
      <c r="C7" s="44">
        <v>0.08364875094625285</v>
      </c>
      <c r="D7" s="44">
        <v>0.08364875094625285</v>
      </c>
      <c r="E7" s="44">
        <v>0.08364875094625285</v>
      </c>
      <c r="F7" s="218" t="s">
        <v>277</v>
      </c>
      <c r="G7" s="220" t="s">
        <v>359</v>
      </c>
    </row>
    <row r="8" spans="1:7" ht="12.75">
      <c r="A8" s="16" t="s">
        <v>213</v>
      </c>
      <c r="B8" s="44">
        <v>0.870552611657835</v>
      </c>
      <c r="C8" s="44">
        <v>0.870552611657835</v>
      </c>
      <c r="D8" s="44">
        <v>0.6813020439061317</v>
      </c>
      <c r="E8" s="44">
        <v>0.6813020439061317</v>
      </c>
      <c r="F8" s="219"/>
      <c r="G8" s="221"/>
    </row>
    <row r="9" spans="1:7" ht="12.75">
      <c r="A9" s="16" t="s">
        <v>214</v>
      </c>
      <c r="B9" s="44">
        <v>0.1514004542013626</v>
      </c>
      <c r="C9" s="44">
        <v>0.1514004542013626</v>
      </c>
      <c r="D9" s="44">
        <v>0</v>
      </c>
      <c r="E9" s="44">
        <v>0</v>
      </c>
      <c r="F9" s="219"/>
      <c r="G9" s="221"/>
    </row>
    <row r="10" spans="1:7" ht="25.5">
      <c r="A10" s="16" t="s">
        <v>212</v>
      </c>
      <c r="B10" s="44">
        <v>9.084027252081757</v>
      </c>
      <c r="C10" s="44">
        <v>75.7002271006813</v>
      </c>
      <c r="D10" s="44">
        <v>0.3785011355034065</v>
      </c>
      <c r="E10" s="44">
        <v>0.3785011355034065</v>
      </c>
      <c r="F10" s="219"/>
      <c r="G10" s="221"/>
    </row>
    <row r="11" spans="1:7" ht="12.75">
      <c r="A11" s="16"/>
      <c r="B11" s="44"/>
      <c r="C11" s="44"/>
      <c r="D11" s="44"/>
      <c r="E11" s="44"/>
      <c r="F11" s="219"/>
      <c r="G11" s="221"/>
    </row>
    <row r="12" spans="1:7" ht="12.75">
      <c r="A12" s="16" t="s">
        <v>215</v>
      </c>
      <c r="B12" s="44">
        <v>75.7002271006813</v>
      </c>
      <c r="C12" s="44">
        <v>189.25056775170327</v>
      </c>
      <c r="D12" s="44">
        <v>1.1355034065102196</v>
      </c>
      <c r="E12" s="44">
        <v>1.1355034065102196</v>
      </c>
      <c r="F12" s="219"/>
      <c r="G12" s="221"/>
    </row>
    <row r="13" spans="1:7" ht="12.75">
      <c r="A13" s="16" t="s">
        <v>216</v>
      </c>
      <c r="B13" s="44">
        <v>1.1355034065102196</v>
      </c>
      <c r="C13" s="44">
        <v>3.028009084027252</v>
      </c>
      <c r="D13" s="44">
        <v>0.9084027252081757</v>
      </c>
      <c r="E13" s="44">
        <v>2.4224072672218018</v>
      </c>
      <c r="F13" s="219"/>
      <c r="G13" s="221"/>
    </row>
    <row r="14" spans="1:7" ht="12.75">
      <c r="A14" s="16" t="s">
        <v>304</v>
      </c>
      <c r="B14" s="44">
        <v>0.1514004542013626</v>
      </c>
      <c r="C14" s="44">
        <v>0.1514004542013626</v>
      </c>
      <c r="D14" s="44">
        <v>0</v>
      </c>
      <c r="E14" s="44">
        <v>0</v>
      </c>
      <c r="F14" s="219"/>
      <c r="G14" s="221"/>
    </row>
    <row r="15" spans="1:7" ht="12.75">
      <c r="A15" s="16" t="s">
        <v>217</v>
      </c>
      <c r="B15" s="44">
        <v>1.1355034065102196</v>
      </c>
      <c r="C15" s="44">
        <v>2.2710068130204393</v>
      </c>
      <c r="D15" s="44">
        <v>1.1355034065102196</v>
      </c>
      <c r="E15" s="44">
        <v>1.8168054504163513</v>
      </c>
      <c r="F15" s="219"/>
      <c r="G15" s="222"/>
    </row>
    <row r="16" spans="1:7" ht="12.75">
      <c r="A16" s="183"/>
      <c r="B16" s="184"/>
      <c r="C16" s="184"/>
      <c r="D16" s="185"/>
      <c r="E16" s="184"/>
      <c r="F16" s="184"/>
      <c r="G16" s="186"/>
    </row>
    <row r="17" spans="1:7" ht="12.75">
      <c r="A17" s="181" t="s">
        <v>305</v>
      </c>
      <c r="B17" s="182">
        <v>0.47312641937925815</v>
      </c>
      <c r="C17" s="182">
        <v>0.6056018168054504</v>
      </c>
      <c r="D17" s="182">
        <v>0.47312641937925815</v>
      </c>
      <c r="E17" s="182">
        <v>0.6056018168054504</v>
      </c>
      <c r="F17" s="175"/>
      <c r="G17" s="175" t="s">
        <v>358</v>
      </c>
    </row>
    <row r="18" spans="1:7" ht="25.5">
      <c r="A18" s="178" t="s">
        <v>308</v>
      </c>
      <c r="B18" s="44">
        <f>0.0216/0.6</f>
        <v>0.036000000000000004</v>
      </c>
      <c r="C18" s="44">
        <f>0.0216/0.6</f>
        <v>0.036000000000000004</v>
      </c>
      <c r="D18" s="44">
        <f>0.0216/0.6</f>
        <v>0.036000000000000004</v>
      </c>
      <c r="E18" s="44">
        <f>0.0216/0.6</f>
        <v>0.036000000000000004</v>
      </c>
      <c r="F18" s="20" t="s">
        <v>311</v>
      </c>
      <c r="G18" s="32"/>
    </row>
    <row r="19" spans="1:7" ht="38.25">
      <c r="A19" s="178" t="s">
        <v>309</v>
      </c>
      <c r="B19" s="44">
        <f>0.0216/0.36</f>
        <v>0.060000000000000005</v>
      </c>
      <c r="C19" s="44">
        <f>0.0216/0.36</f>
        <v>0.060000000000000005</v>
      </c>
      <c r="D19" s="44">
        <f>0.0216/0.36</f>
        <v>0.060000000000000005</v>
      </c>
      <c r="E19" s="44">
        <f>0.0216/0.36</f>
        <v>0.060000000000000005</v>
      </c>
      <c r="F19" s="20" t="s">
        <v>310</v>
      </c>
      <c r="G19" s="32"/>
    </row>
    <row r="20" spans="1:7" ht="25.5">
      <c r="A20" s="179" t="s">
        <v>312</v>
      </c>
      <c r="B20" s="44">
        <f>0.0108/0.6</f>
        <v>0.018000000000000002</v>
      </c>
      <c r="C20" s="44">
        <f>0.0108/0.6</f>
        <v>0.018000000000000002</v>
      </c>
      <c r="D20" s="44">
        <f>0.0108/0.6</f>
        <v>0.018000000000000002</v>
      </c>
      <c r="E20" s="44">
        <f>0.0108/0.6</f>
        <v>0.018000000000000002</v>
      </c>
      <c r="F20" s="20" t="s">
        <v>311</v>
      </c>
      <c r="G20" s="32"/>
    </row>
    <row r="21" spans="1:7" ht="38.25">
      <c r="A21" s="179" t="s">
        <v>313</v>
      </c>
      <c r="B21" s="44">
        <f>0.0108/0.36</f>
        <v>0.030000000000000002</v>
      </c>
      <c r="C21" s="44">
        <f>0.0108/0.36</f>
        <v>0.030000000000000002</v>
      </c>
      <c r="D21" s="44">
        <f>0.0108/0.36</f>
        <v>0.030000000000000002</v>
      </c>
      <c r="E21" s="44">
        <f>0.0108/0.36</f>
        <v>0.030000000000000002</v>
      </c>
      <c r="F21" s="20" t="s">
        <v>310</v>
      </c>
      <c r="G21" s="32"/>
    </row>
    <row r="22" spans="1:7" ht="38.25">
      <c r="A22" s="161" t="s">
        <v>220</v>
      </c>
      <c r="B22" s="44">
        <v>0</v>
      </c>
      <c r="C22" s="44">
        <v>0.36</v>
      </c>
      <c r="D22" s="44">
        <v>0</v>
      </c>
      <c r="E22" s="44">
        <v>0.36</v>
      </c>
      <c r="F22" s="20" t="s">
        <v>306</v>
      </c>
      <c r="G22" s="32"/>
    </row>
    <row r="23" spans="1:5" ht="12.75">
      <c r="A23" s="1"/>
      <c r="B23" s="1"/>
      <c r="C23" s="1"/>
      <c r="D23" s="1"/>
      <c r="E23" s="1"/>
    </row>
    <row r="24" spans="1:5" ht="12.75">
      <c r="A24" s="75" t="s">
        <v>224</v>
      </c>
      <c r="B24" s="75"/>
      <c r="C24" s="75"/>
      <c r="D24" s="75"/>
      <c r="E24" s="75"/>
    </row>
    <row r="25" spans="1:5" ht="51">
      <c r="A25" s="103"/>
      <c r="B25" s="69" t="s">
        <v>42</v>
      </c>
      <c r="C25" s="70"/>
      <c r="D25" s="69" t="s">
        <v>43</v>
      </c>
      <c r="E25" s="70"/>
    </row>
    <row r="26" spans="1:5" ht="12.75">
      <c r="A26" s="103"/>
      <c r="B26" s="73" t="s">
        <v>0</v>
      </c>
      <c r="C26" s="73" t="s">
        <v>1</v>
      </c>
      <c r="D26" s="73" t="s">
        <v>0</v>
      </c>
      <c r="E26" s="73" t="s">
        <v>1</v>
      </c>
    </row>
    <row r="27" spans="1:5" ht="12.75">
      <c r="A27" s="45" t="s">
        <v>225</v>
      </c>
      <c r="B27" s="79">
        <v>0.11604875094625285</v>
      </c>
      <c r="C27" s="79">
        <v>0.11604875094625285</v>
      </c>
      <c r="D27" s="79">
        <v>0.11604875094625285</v>
      </c>
      <c r="E27" s="79">
        <v>0.116048750946253</v>
      </c>
    </row>
    <row r="28" spans="1:5" ht="12.75">
      <c r="A28" s="45" t="s">
        <v>226</v>
      </c>
      <c r="B28" s="55">
        <f>B27+B17</f>
        <v>0.589175170325511</v>
      </c>
      <c r="C28" s="55">
        <f>C27+C17</f>
        <v>0.7216505677517033</v>
      </c>
      <c r="D28" s="55">
        <f>D27+D17</f>
        <v>0.589175170325511</v>
      </c>
      <c r="E28" s="55">
        <f>E27+E17</f>
        <v>0.7216505677517034</v>
      </c>
    </row>
    <row r="29" spans="1:5" ht="25.5">
      <c r="A29" s="45" t="s">
        <v>227</v>
      </c>
      <c r="B29" s="55">
        <f>B30+B17</f>
        <v>1.3760790310370932</v>
      </c>
      <c r="C29" s="55">
        <f>C30+C17</f>
        <v>1.5085544284632855</v>
      </c>
      <c r="D29" s="55">
        <f>D30+D17</f>
        <v>1.1868284632853898</v>
      </c>
      <c r="E29" s="55">
        <f>E30+E17</f>
        <v>1.3193038607115821</v>
      </c>
    </row>
    <row r="30" spans="1:5" ht="25.5">
      <c r="A30" s="45" t="s">
        <v>228</v>
      </c>
      <c r="B30" s="79">
        <v>0.9029526116578351</v>
      </c>
      <c r="C30" s="79">
        <v>0.9029526116578351</v>
      </c>
      <c r="D30" s="79">
        <v>0.7137020439061318</v>
      </c>
      <c r="E30" s="79">
        <v>0.7137020439061318</v>
      </c>
    </row>
    <row r="31" spans="1:5" ht="25.5">
      <c r="A31" s="45" t="s">
        <v>229</v>
      </c>
      <c r="B31" s="55">
        <f>B32+B17</f>
        <v>0.6569268735806212</v>
      </c>
      <c r="C31" s="55">
        <f>C32+C17</f>
        <v>0.789402271006813</v>
      </c>
      <c r="D31" s="55">
        <f>D32+D17</f>
        <v>0.5055264193792581</v>
      </c>
      <c r="E31" s="55">
        <f>E32+E17</f>
        <v>0.6380018168054504</v>
      </c>
    </row>
    <row r="32" spans="1:5" ht="25.5">
      <c r="A32" s="45" t="s">
        <v>230</v>
      </c>
      <c r="B32" s="79">
        <v>0.183800454201363</v>
      </c>
      <c r="C32" s="79">
        <v>0.1838004542013626</v>
      </c>
      <c r="D32" s="79">
        <v>0.0324</v>
      </c>
      <c r="E32" s="79">
        <v>0.0324</v>
      </c>
    </row>
    <row r="33" spans="1:5" ht="25.5">
      <c r="A33" s="45" t="s">
        <v>212</v>
      </c>
      <c r="B33" s="79">
        <v>9.116427252081756</v>
      </c>
      <c r="C33" s="79">
        <v>75.73262710068131</v>
      </c>
      <c r="D33" s="79">
        <v>0.4109011355034065</v>
      </c>
      <c r="E33" s="79">
        <v>0.4109011355034065</v>
      </c>
    </row>
    <row r="34" spans="1:5" ht="12.75">
      <c r="A34" s="45" t="s">
        <v>215</v>
      </c>
      <c r="B34" s="79">
        <v>76.09262710068131</v>
      </c>
      <c r="C34" s="79">
        <v>189.64296775170325</v>
      </c>
      <c r="D34" s="79">
        <v>1.5279034065102195</v>
      </c>
      <c r="E34" s="79">
        <v>1.5279034065102195</v>
      </c>
    </row>
    <row r="35" spans="1:5" ht="12.75">
      <c r="A35" s="45" t="s">
        <v>216</v>
      </c>
      <c r="B35" s="79">
        <v>1.5279034065102195</v>
      </c>
      <c r="C35" s="79">
        <v>3.420409084027252</v>
      </c>
      <c r="D35" s="79">
        <v>1.3008027252081755</v>
      </c>
      <c r="E35" s="79">
        <v>2.814807267221802</v>
      </c>
    </row>
    <row r="36" spans="1:5" ht="12.75">
      <c r="A36" s="45" t="s">
        <v>304</v>
      </c>
      <c r="B36" s="79">
        <v>0.5438004542013626</v>
      </c>
      <c r="C36" s="79">
        <v>0.5438004542013626</v>
      </c>
      <c r="D36" s="79">
        <v>0.39239999999999997</v>
      </c>
      <c r="E36" s="79">
        <v>0.39239999999999997</v>
      </c>
    </row>
    <row r="37" spans="1:5" ht="12.75">
      <c r="A37" s="45" t="s">
        <v>217</v>
      </c>
      <c r="B37" s="79">
        <v>1.5279034065102195</v>
      </c>
      <c r="C37" s="79">
        <v>2.663406813020439</v>
      </c>
      <c r="D37" s="79">
        <v>1.5279034065102195</v>
      </c>
      <c r="E37" s="79">
        <v>2.209205450416351</v>
      </c>
    </row>
    <row r="41" ht="12.75">
      <c r="A41" s="80"/>
    </row>
    <row r="42" ht="12.75">
      <c r="A42" s="80"/>
    </row>
    <row r="43" ht="12.75">
      <c r="A43" s="80"/>
    </row>
    <row r="44" ht="12.75">
      <c r="A44" s="80"/>
    </row>
    <row r="45" ht="12.75">
      <c r="A45" s="80"/>
    </row>
    <row r="46" ht="12.75">
      <c r="A46" s="80"/>
    </row>
    <row r="47" ht="12.75">
      <c r="A47" s="80"/>
    </row>
    <row r="48" ht="12.75">
      <c r="A48" s="80"/>
    </row>
    <row r="49" ht="12.75">
      <c r="A49" s="80"/>
    </row>
  </sheetData>
  <mergeCells count="2">
    <mergeCell ref="F7:F15"/>
    <mergeCell ref="G7:G15"/>
  </mergeCells>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H36"/>
  <sheetViews>
    <sheetView view="pageBreakPreview" zoomScale="75" zoomScaleSheetLayoutView="75" workbookViewId="0" topLeftCell="A1">
      <selection activeCell="A4" sqref="A4:H15"/>
    </sheetView>
  </sheetViews>
  <sheetFormatPr defaultColWidth="9.140625" defaultRowHeight="12.75"/>
  <cols>
    <col min="1" max="1" width="23.28125" style="41" customWidth="1"/>
    <col min="2" max="2" width="17.421875" style="41" customWidth="1"/>
    <col min="3" max="6" width="7.7109375" style="41" customWidth="1"/>
    <col min="7" max="7" width="23.57421875" style="41" customWidth="1"/>
    <col min="8" max="8" width="33.421875" style="41" customWidth="1"/>
    <col min="9" max="16384" width="9.140625" style="41" customWidth="1"/>
  </cols>
  <sheetData>
    <row r="1" ht="12.75">
      <c r="B1" s="4" t="s">
        <v>54</v>
      </c>
    </row>
    <row r="2" ht="12.75">
      <c r="B2" s="4" t="s">
        <v>55</v>
      </c>
    </row>
    <row r="4" spans="1:6" ht="12.75">
      <c r="A4" s="223" t="s">
        <v>60</v>
      </c>
      <c r="B4" s="224"/>
      <c r="C4" s="154" t="s">
        <v>56</v>
      </c>
      <c r="D4" s="155"/>
      <c r="E4" s="154" t="s">
        <v>57</v>
      </c>
      <c r="F4" s="155"/>
    </row>
    <row r="5" spans="1:6" ht="12.75">
      <c r="A5" s="225"/>
      <c r="B5" s="226"/>
      <c r="C5" s="157" t="s">
        <v>48</v>
      </c>
      <c r="D5" s="158"/>
      <c r="E5" s="157" t="s">
        <v>48</v>
      </c>
      <c r="F5" s="158"/>
    </row>
    <row r="6" spans="1:8" ht="12.75">
      <c r="A6" s="112" t="s">
        <v>2</v>
      </c>
      <c r="B6" s="113"/>
      <c r="C6" s="3" t="s">
        <v>0</v>
      </c>
      <c r="D6" s="3" t="s">
        <v>1</v>
      </c>
      <c r="E6" s="3" t="s">
        <v>0</v>
      </c>
      <c r="F6" s="12" t="s">
        <v>1</v>
      </c>
      <c r="G6" s="3" t="s">
        <v>53</v>
      </c>
      <c r="H6" s="3" t="s">
        <v>88</v>
      </c>
    </row>
    <row r="7" spans="1:8" ht="12.75">
      <c r="A7" s="108" t="s">
        <v>196</v>
      </c>
      <c r="B7" s="109"/>
      <c r="C7" s="15">
        <v>0.23225760000000006</v>
      </c>
      <c r="D7" s="15">
        <v>0.23225760000000006</v>
      </c>
      <c r="E7" s="38">
        <v>0</v>
      </c>
      <c r="F7" s="13">
        <v>0</v>
      </c>
      <c r="G7" s="89" t="s">
        <v>101</v>
      </c>
      <c r="H7" s="32" t="s">
        <v>346</v>
      </c>
    </row>
    <row r="8" spans="1:8" ht="25.5">
      <c r="A8" s="108" t="s">
        <v>195</v>
      </c>
      <c r="B8" s="109"/>
      <c r="C8" s="15">
        <v>0.00232272</v>
      </c>
      <c r="D8" s="15">
        <v>0.00232272</v>
      </c>
      <c r="E8" s="38">
        <v>0</v>
      </c>
      <c r="F8" s="13">
        <v>0</v>
      </c>
      <c r="G8" s="89" t="s">
        <v>194</v>
      </c>
      <c r="H8" s="32" t="s">
        <v>346</v>
      </c>
    </row>
    <row r="9" spans="1:8" ht="39" customHeight="1">
      <c r="A9" s="110" t="s">
        <v>49</v>
      </c>
      <c r="B9" s="111"/>
      <c r="C9" s="41">
        <v>0.7548</v>
      </c>
      <c r="D9" s="41">
        <v>0.9058</v>
      </c>
      <c r="E9" s="41">
        <v>0.4522</v>
      </c>
      <c r="F9" s="41">
        <v>0.5365</v>
      </c>
      <c r="G9" s="81" t="s">
        <v>197</v>
      </c>
      <c r="H9" s="32" t="s">
        <v>346</v>
      </c>
    </row>
    <row r="10" spans="1:8" ht="38.25">
      <c r="A10" s="227" t="s">
        <v>89</v>
      </c>
      <c r="B10" s="16" t="s">
        <v>50</v>
      </c>
      <c r="C10" s="14">
        <v>94.62528387585164</v>
      </c>
      <c r="D10" s="15">
        <v>227.1006813020439</v>
      </c>
      <c r="E10" s="15">
        <v>0.3785011355034066</v>
      </c>
      <c r="F10" s="15">
        <v>5.035</v>
      </c>
      <c r="G10" s="20" t="s">
        <v>91</v>
      </c>
      <c r="H10" s="81" t="s">
        <v>347</v>
      </c>
    </row>
    <row r="11" spans="1:8" ht="38.25">
      <c r="A11" s="228"/>
      <c r="B11" s="16" t="s">
        <v>51</v>
      </c>
      <c r="C11" s="15">
        <v>3.028009084027252</v>
      </c>
      <c r="D11" s="15">
        <v>5.677517032551098</v>
      </c>
      <c r="E11" s="17">
        <v>1.514004542013626</v>
      </c>
      <c r="F11" s="17">
        <v>5.677517032551098</v>
      </c>
      <c r="G11" s="20"/>
      <c r="H11" s="81" t="s">
        <v>343</v>
      </c>
    </row>
    <row r="12" spans="1:8" ht="38.25">
      <c r="A12" s="229"/>
      <c r="B12" s="16" t="s">
        <v>52</v>
      </c>
      <c r="C12" s="17">
        <v>2.7252081756245268</v>
      </c>
      <c r="D12" s="17">
        <v>4.163512490537472</v>
      </c>
      <c r="E12" s="17">
        <v>2.7252081756245268</v>
      </c>
      <c r="F12" s="17">
        <v>2.7252081756245268</v>
      </c>
      <c r="G12" s="20"/>
      <c r="H12" s="81" t="s">
        <v>344</v>
      </c>
    </row>
    <row r="13" spans="1:8" ht="25.5">
      <c r="A13" s="227" t="s">
        <v>90</v>
      </c>
      <c r="B13" s="16" t="s">
        <v>50</v>
      </c>
      <c r="C13" s="9">
        <v>94.62528387585164</v>
      </c>
      <c r="D13" s="9">
        <v>227.1006813020439</v>
      </c>
      <c r="E13" s="17">
        <v>0.3785011355034066</v>
      </c>
      <c r="F13" s="17">
        <v>1.514004542013626</v>
      </c>
      <c r="G13" s="20"/>
      <c r="H13" s="81" t="s">
        <v>345</v>
      </c>
    </row>
    <row r="14" spans="1:8" ht="38.25">
      <c r="A14" s="228"/>
      <c r="B14" s="16" t="s">
        <v>51</v>
      </c>
      <c r="C14" s="9">
        <v>3.028009084027252</v>
      </c>
      <c r="D14" s="9">
        <v>5.677517032551098</v>
      </c>
      <c r="E14" s="17">
        <v>1.514004542013626</v>
      </c>
      <c r="F14" s="17">
        <v>5.677517032551098</v>
      </c>
      <c r="G14" s="20"/>
      <c r="H14" s="81" t="s">
        <v>343</v>
      </c>
    </row>
    <row r="15" spans="1:8" ht="38.25">
      <c r="A15" s="229"/>
      <c r="B15" s="16" t="s">
        <v>52</v>
      </c>
      <c r="C15" s="17">
        <v>2.725208</v>
      </c>
      <c r="D15" s="9">
        <v>4.163512490537472</v>
      </c>
      <c r="E15" s="17">
        <v>2.725208</v>
      </c>
      <c r="F15" s="17">
        <v>3.233</v>
      </c>
      <c r="G15" s="20"/>
      <c r="H15" s="81" t="s">
        <v>348</v>
      </c>
    </row>
    <row r="17" spans="1:6" ht="39.75" customHeight="1">
      <c r="A17" s="100" t="s">
        <v>86</v>
      </c>
      <c r="B17" s="101"/>
      <c r="C17" s="101"/>
      <c r="D17" s="101"/>
      <c r="E17" s="101"/>
      <c r="F17" s="102"/>
    </row>
    <row r="18" spans="1:6" ht="51">
      <c r="A18" s="68"/>
      <c r="C18" s="69" t="s">
        <v>42</v>
      </c>
      <c r="D18" s="70"/>
      <c r="E18" s="71" t="s">
        <v>43</v>
      </c>
      <c r="F18" s="70"/>
    </row>
    <row r="19" spans="1:6" ht="12.75">
      <c r="A19" s="72"/>
      <c r="C19" s="73" t="s">
        <v>0</v>
      </c>
      <c r="D19" s="73" t="s">
        <v>1</v>
      </c>
      <c r="E19" s="73" t="s">
        <v>0</v>
      </c>
      <c r="F19" s="73" t="s">
        <v>1</v>
      </c>
    </row>
    <row r="20" spans="1:7" ht="12.75">
      <c r="A20" s="32">
        <v>1</v>
      </c>
      <c r="B20" s="74" t="s">
        <v>198</v>
      </c>
      <c r="C20" s="15">
        <f>SUM(C7,C9:C10)</f>
        <v>95.61234147585164</v>
      </c>
      <c r="D20" s="15">
        <f>SUM(D7,D9:D10)</f>
        <v>228.2387389020439</v>
      </c>
      <c r="E20" s="15">
        <f>SUM(E7,E9:E10)</f>
        <v>0.8307011355034066</v>
      </c>
      <c r="F20" s="15">
        <f>SUM(F7,F9:F10)</f>
        <v>5.5715</v>
      </c>
      <c r="G20" s="117"/>
    </row>
    <row r="21" spans="1:7" ht="12.75">
      <c r="A21" s="32">
        <v>2</v>
      </c>
      <c r="B21" s="74" t="s">
        <v>199</v>
      </c>
      <c r="C21" s="15">
        <f>SUM(C8,C9:C10)</f>
        <v>95.38240659585163</v>
      </c>
      <c r="D21" s="15">
        <f>SUM(D8,D9:D10)</f>
        <v>228.0088040220439</v>
      </c>
      <c r="E21" s="15">
        <f>SUM(E8,E9:E10)</f>
        <v>0.8307011355034066</v>
      </c>
      <c r="F21" s="15">
        <f>SUM(F8,F9:F10)</f>
        <v>5.5715</v>
      </c>
      <c r="G21" s="117"/>
    </row>
    <row r="22" spans="1:7" ht="12.75">
      <c r="A22" s="32">
        <v>3</v>
      </c>
      <c r="B22" s="74" t="s">
        <v>201</v>
      </c>
      <c r="C22" s="15">
        <f>SUM(C7,C9,C11)</f>
        <v>4.015066684027253</v>
      </c>
      <c r="D22" s="15">
        <f>SUM(D7,D9,D11)</f>
        <v>6.8155746325510975</v>
      </c>
      <c r="E22" s="15">
        <f>SUM(E7,E9,E11)</f>
        <v>1.966204542013626</v>
      </c>
      <c r="F22" s="15">
        <f>SUM(F7,F9,F11)</f>
        <v>6.214017032551098</v>
      </c>
      <c r="G22" s="117"/>
    </row>
    <row r="23" spans="1:7" ht="12.75">
      <c r="A23" s="32">
        <v>4</v>
      </c>
      <c r="B23" s="74" t="s">
        <v>200</v>
      </c>
      <c r="C23" s="15">
        <f>SUM(C8,C9,C11)</f>
        <v>3.785131804027252</v>
      </c>
      <c r="D23" s="15">
        <f>SUM(D8,D9,D11)</f>
        <v>6.5856397525510975</v>
      </c>
      <c r="E23" s="15">
        <f>SUM(E8,E9,E11)</f>
        <v>1.966204542013626</v>
      </c>
      <c r="F23" s="15">
        <f>SUM(F8,F9,F11)</f>
        <v>6.214017032551098</v>
      </c>
      <c r="G23" s="117"/>
    </row>
    <row r="24" spans="1:7" ht="12.75">
      <c r="A24" s="32">
        <v>5</v>
      </c>
      <c r="B24" s="74" t="s">
        <v>202</v>
      </c>
      <c r="C24" s="15">
        <f>SUM(C7,C9,C12)</f>
        <v>3.7122657756245268</v>
      </c>
      <c r="D24" s="15">
        <f>SUM(D7,D9,D12)</f>
        <v>5.3015700905374725</v>
      </c>
      <c r="E24" s="15">
        <f>SUM(E7,E9,E12)</f>
        <v>3.1774081756245267</v>
      </c>
      <c r="F24" s="15">
        <f>SUM(F7,F9,F12)</f>
        <v>3.261708175624527</v>
      </c>
      <c r="G24" s="117"/>
    </row>
    <row r="25" spans="1:7" ht="12.75">
      <c r="A25" s="32">
        <v>6</v>
      </c>
      <c r="B25" s="74" t="s">
        <v>203</v>
      </c>
      <c r="C25" s="15">
        <f>SUM(C8,C9,C12)</f>
        <v>3.4823308956245267</v>
      </c>
      <c r="D25" s="15">
        <f>SUM(D8,D9,D12)</f>
        <v>5.071635210537472</v>
      </c>
      <c r="E25" s="15">
        <f>SUM(E8,E9,E12)</f>
        <v>3.1774081756245267</v>
      </c>
      <c r="F25" s="15">
        <f>SUM(F8,F9,F12)</f>
        <v>3.261708175624527</v>
      </c>
      <c r="G25" s="117"/>
    </row>
    <row r="26" spans="1:7" ht="12.75">
      <c r="A26" s="32">
        <v>7</v>
      </c>
      <c r="B26" s="32" t="s">
        <v>204</v>
      </c>
      <c r="C26" s="15">
        <f>SUM(C13,C7,C9)</f>
        <v>95.61234147585164</v>
      </c>
      <c r="D26" s="15">
        <f>SUM(D13,D7,D9)</f>
        <v>228.2387389020439</v>
      </c>
      <c r="E26" s="15">
        <f>SUM(E13,E7,E9)</f>
        <v>0.8307011355034066</v>
      </c>
      <c r="F26" s="15">
        <f>SUM(F13,F7,F9)</f>
        <v>2.050504542013626</v>
      </c>
      <c r="G26" s="117"/>
    </row>
    <row r="27" spans="1:7" ht="12.75">
      <c r="A27" s="32">
        <v>8</v>
      </c>
      <c r="B27" s="32" t="s">
        <v>205</v>
      </c>
      <c r="C27" s="15">
        <f>SUM(C8,C9,C13)</f>
        <v>95.38240659585163</v>
      </c>
      <c r="D27" s="15">
        <f>SUM(D8,D9,D13)</f>
        <v>228.0088040220439</v>
      </c>
      <c r="E27" s="15">
        <f>SUM(E8,E9,E13)</f>
        <v>0.8307011355034066</v>
      </c>
      <c r="F27" s="15">
        <f>SUM(F8,F9,F13)</f>
        <v>2.050504542013626</v>
      </c>
      <c r="G27" s="117"/>
    </row>
    <row r="28" spans="1:7" ht="12.75">
      <c r="A28" s="32">
        <v>9</v>
      </c>
      <c r="B28" s="21" t="s">
        <v>207</v>
      </c>
      <c r="C28" s="15">
        <f>SUM(C7,C9,C14)</f>
        <v>4.015066684027253</v>
      </c>
      <c r="D28" s="15">
        <f>SUM(D7,D9,D14)</f>
        <v>6.8155746325510975</v>
      </c>
      <c r="E28" s="15">
        <f>SUM(E7,E9,E14)</f>
        <v>1.966204542013626</v>
      </c>
      <c r="F28" s="15">
        <f>SUM(F7,F9,F14)</f>
        <v>6.214017032551098</v>
      </c>
      <c r="G28" s="117"/>
    </row>
    <row r="29" spans="1:7" ht="12.75">
      <c r="A29" s="32">
        <v>10</v>
      </c>
      <c r="B29" s="21" t="s">
        <v>206</v>
      </c>
      <c r="C29" s="15">
        <f>SUM(C8,C9,C14)</f>
        <v>3.785131804027252</v>
      </c>
      <c r="D29" s="15">
        <f>SUM(D8,D9,D14)</f>
        <v>6.5856397525510975</v>
      </c>
      <c r="E29" s="15">
        <f>SUM(E8,E9,E14)</f>
        <v>1.966204542013626</v>
      </c>
      <c r="F29" s="15">
        <f>SUM(F8,F9,F14)</f>
        <v>6.214017032551098</v>
      </c>
      <c r="G29" s="117"/>
    </row>
    <row r="30" spans="1:7" ht="12.75">
      <c r="A30" s="32">
        <v>11</v>
      </c>
      <c r="B30" s="21" t="s">
        <v>208</v>
      </c>
      <c r="C30" s="24">
        <f>SUM(C15,C9,C7)</f>
        <v>3.7122656</v>
      </c>
      <c r="D30" s="24">
        <f>SUM(D15,D9,D7)</f>
        <v>5.3015700905374725</v>
      </c>
      <c r="E30" s="24">
        <f>SUM(E15,E9,E7)</f>
        <v>3.177408</v>
      </c>
      <c r="F30" s="24">
        <f>SUM(F15,F9,F7)</f>
        <v>3.7695</v>
      </c>
      <c r="G30" s="117"/>
    </row>
    <row r="31" spans="1:7" ht="12.75">
      <c r="A31" s="32">
        <v>12</v>
      </c>
      <c r="B31" s="21" t="s">
        <v>209</v>
      </c>
      <c r="C31" s="24">
        <f>SUM(C8,C9,C15)</f>
        <v>3.4823307199999998</v>
      </c>
      <c r="D31" s="24">
        <f>SUM(D8,D9,D15)</f>
        <v>5.071635210537472</v>
      </c>
      <c r="E31" s="24">
        <f>SUM(E8,E9,E15)</f>
        <v>3.177408</v>
      </c>
      <c r="F31" s="24">
        <f>SUM(F8,F9,F15)</f>
        <v>3.7695</v>
      </c>
      <c r="G31" s="117"/>
    </row>
    <row r="32" ht="12.75">
      <c r="A32" s="18"/>
    </row>
    <row r="33" ht="12.75">
      <c r="A33" s="1"/>
    </row>
    <row r="34" spans="1:2" ht="12.75">
      <c r="A34" s="19"/>
      <c r="B34" t="s">
        <v>340</v>
      </c>
    </row>
    <row r="35" spans="1:2" ht="12.75">
      <c r="A35" s="19"/>
      <c r="B35" s="105" t="s">
        <v>341</v>
      </c>
    </row>
    <row r="36" ht="12.75">
      <c r="B36" t="s">
        <v>342</v>
      </c>
    </row>
  </sheetData>
  <mergeCells count="3">
    <mergeCell ref="A4:B5"/>
    <mergeCell ref="A10:A12"/>
    <mergeCell ref="A13:A15"/>
  </mergeCells>
  <hyperlinks>
    <hyperlink ref="B35" r:id="rId1" display="http://www.netl.doe.gov/technologies/coalpower/ewr/pubs/Estimating%20Freshwater%20Needs%20to%202025.pdf"/>
  </hyperlinks>
  <printOptions/>
  <pageMargins left="0.75" right="0.75" top="1" bottom="1" header="0.5" footer="0.5"/>
  <pageSetup fitToHeight="5" fitToWidth="1" horizontalDpi="600" verticalDpi="600" orientation="landscape" scale="96" r:id="rId2"/>
</worksheet>
</file>

<file path=xl/worksheets/sheet8.xml><?xml version="1.0" encoding="utf-8"?>
<worksheet xmlns="http://schemas.openxmlformats.org/spreadsheetml/2006/main" xmlns:r="http://schemas.openxmlformats.org/officeDocument/2006/relationships">
  <dimension ref="A1:H65"/>
  <sheetViews>
    <sheetView workbookViewId="0" topLeftCell="A4">
      <selection activeCell="A4" sqref="A4:G30"/>
    </sheetView>
  </sheetViews>
  <sheetFormatPr defaultColWidth="9.140625" defaultRowHeight="12.75"/>
  <cols>
    <col min="1" max="1" width="42.57421875" style="41" customWidth="1"/>
    <col min="2" max="5" width="8.28125" style="41" customWidth="1"/>
    <col min="6" max="6" width="33.8515625" style="41" customWidth="1"/>
    <col min="7" max="7" width="10.7109375" style="41" customWidth="1"/>
    <col min="8" max="16384" width="9.140625" style="41" customWidth="1"/>
  </cols>
  <sheetData>
    <row r="1" spans="1:5" ht="12.75">
      <c r="A1" s="42" t="s">
        <v>210</v>
      </c>
      <c r="B1" s="1"/>
      <c r="C1" s="1"/>
      <c r="D1" s="1"/>
      <c r="E1" s="1"/>
    </row>
    <row r="2" spans="1:5" ht="12.75">
      <c r="A2" s="42" t="s">
        <v>55</v>
      </c>
      <c r="B2" s="1"/>
      <c r="C2" s="1"/>
      <c r="D2" s="1"/>
      <c r="E2" s="1"/>
    </row>
    <row r="3" spans="1:5" ht="12.75">
      <c r="A3" s="1"/>
      <c r="B3" s="1"/>
      <c r="C3" s="1"/>
      <c r="D3" s="1"/>
      <c r="E3" s="1"/>
    </row>
    <row r="4" spans="1:7" ht="12.75">
      <c r="A4" s="223" t="s">
        <v>211</v>
      </c>
      <c r="B4" s="154" t="s">
        <v>56</v>
      </c>
      <c r="C4" s="166"/>
      <c r="D4" s="154" t="s">
        <v>57</v>
      </c>
      <c r="E4" s="166"/>
      <c r="F4" s="68"/>
      <c r="G4" s="176"/>
    </row>
    <row r="5" spans="1:7" ht="12.75">
      <c r="A5" s="225"/>
      <c r="B5" s="157" t="s">
        <v>48</v>
      </c>
      <c r="C5" s="168"/>
      <c r="D5" s="157" t="s">
        <v>48</v>
      </c>
      <c r="E5" s="168"/>
      <c r="F5" s="72"/>
      <c r="G5" s="177"/>
    </row>
    <row r="6" spans="1:7" ht="12.75">
      <c r="A6" s="189" t="s">
        <v>2</v>
      </c>
      <c r="B6" s="198" t="s">
        <v>0</v>
      </c>
      <c r="C6" s="198" t="s">
        <v>1</v>
      </c>
      <c r="D6" s="198" t="s">
        <v>0</v>
      </c>
      <c r="E6" s="198" t="s">
        <v>1</v>
      </c>
      <c r="F6" s="198" t="s">
        <v>53</v>
      </c>
      <c r="G6" s="198" t="s">
        <v>88</v>
      </c>
    </row>
    <row r="7" spans="1:7" s="39" customFormat="1" ht="25.5">
      <c r="A7" s="190" t="s">
        <v>237</v>
      </c>
      <c r="B7" s="25">
        <v>0.027960101527363408</v>
      </c>
      <c r="C7" s="25">
        <v>0.04544685398762079</v>
      </c>
      <c r="D7" s="25">
        <v>0.027960101527363408</v>
      </c>
      <c r="E7" s="25">
        <v>0.04544685398762079</v>
      </c>
      <c r="F7" s="231" t="s">
        <v>236</v>
      </c>
      <c r="G7" s="230" t="s">
        <v>370</v>
      </c>
    </row>
    <row r="8" spans="1:8" s="39" customFormat="1" ht="12.75">
      <c r="A8" s="190" t="s">
        <v>238</v>
      </c>
      <c r="B8" s="25">
        <v>0.0353475531014828</v>
      </c>
      <c r="C8" s="25">
        <v>0.046756022621009</v>
      </c>
      <c r="D8" s="25">
        <v>0.0353475531014828</v>
      </c>
      <c r="E8" s="25">
        <v>0.046756022621009</v>
      </c>
      <c r="F8" s="231"/>
      <c r="G8" s="230"/>
      <c r="H8" s="80"/>
    </row>
    <row r="9" spans="1:8" s="39" customFormat="1" ht="14.25" customHeight="1">
      <c r="A9" s="190" t="s">
        <v>239</v>
      </c>
      <c r="B9" s="25">
        <v>0.0134657345148506</v>
      </c>
      <c r="C9" s="25">
        <v>0.014026806786302711</v>
      </c>
      <c r="D9" s="25">
        <v>0.0134657345148506</v>
      </c>
      <c r="E9" s="25">
        <v>0.014026806786302711</v>
      </c>
      <c r="F9" s="231"/>
      <c r="G9" s="230"/>
      <c r="H9" s="80"/>
    </row>
    <row r="10" spans="1:8" s="39" customFormat="1" ht="14.25" customHeight="1">
      <c r="A10" s="190" t="s">
        <v>240</v>
      </c>
      <c r="B10" s="25">
        <v>0.0196375295008238</v>
      </c>
      <c r="C10" s="25">
        <v>0.0196375295008238</v>
      </c>
      <c r="D10" s="25">
        <v>0.0196375295008238</v>
      </c>
      <c r="E10" s="25">
        <v>0.0196375295008238</v>
      </c>
      <c r="F10" s="231"/>
      <c r="G10" s="230"/>
      <c r="H10" s="80"/>
    </row>
    <row r="11" spans="1:8" s="39" customFormat="1" ht="25.5">
      <c r="A11" s="191" t="s">
        <v>241</v>
      </c>
      <c r="B11" s="25">
        <v>0.088181858663223</v>
      </c>
      <c r="C11" s="25">
        <v>0.11109230974751699</v>
      </c>
      <c r="D11" s="25">
        <v>0.088181858663223</v>
      </c>
      <c r="E11" s="25">
        <v>0.11109230974751699</v>
      </c>
      <c r="F11" s="231"/>
      <c r="G11" s="230"/>
      <c r="H11" s="80"/>
    </row>
    <row r="12" spans="1:8" s="39" customFormat="1" ht="12.75">
      <c r="A12" s="191" t="s">
        <v>242</v>
      </c>
      <c r="B12" s="25">
        <v>0.137462706505767</v>
      </c>
      <c r="C12" s="25">
        <v>0.201050897270339</v>
      </c>
      <c r="D12" s="25">
        <v>0.137462706505767</v>
      </c>
      <c r="E12" s="25">
        <v>0.201050897270339</v>
      </c>
      <c r="F12" s="231"/>
      <c r="G12" s="230"/>
      <c r="H12" s="80"/>
    </row>
    <row r="13" spans="1:7" s="39" customFormat="1" ht="15" customHeight="1">
      <c r="A13" s="191" t="s">
        <v>243</v>
      </c>
      <c r="B13" s="25">
        <v>0.121191610633655</v>
      </c>
      <c r="C13" s="25">
        <v>0.144943670125128</v>
      </c>
      <c r="D13" s="25">
        <v>0.121191610633655</v>
      </c>
      <c r="E13" s="25">
        <v>0.144943670125128</v>
      </c>
      <c r="F13" s="231"/>
      <c r="G13" s="230"/>
    </row>
    <row r="14" spans="1:7" s="39" customFormat="1" ht="12.75">
      <c r="A14" s="191" t="s">
        <v>244</v>
      </c>
      <c r="B14" s="25">
        <v>0.10015140045420101</v>
      </c>
      <c r="C14" s="25">
        <v>0.10015140045420101</v>
      </c>
      <c r="D14" s="25">
        <v>0.10015140045420101</v>
      </c>
      <c r="E14" s="25">
        <v>0.10015140045420101</v>
      </c>
      <c r="F14" s="231"/>
      <c r="G14" s="230"/>
    </row>
    <row r="15" spans="1:7" s="39" customFormat="1" ht="25.5">
      <c r="A15" s="192" t="s">
        <v>245</v>
      </c>
      <c r="B15" s="25">
        <v>0.07742797346039099</v>
      </c>
      <c r="C15" s="25">
        <v>0.12119161063365544</v>
      </c>
      <c r="D15" s="25">
        <v>0.07742797346039099</v>
      </c>
      <c r="E15" s="25">
        <v>0.12119161063365544</v>
      </c>
      <c r="F15" s="231"/>
      <c r="G15" s="230"/>
    </row>
    <row r="16" spans="1:7" s="39" customFormat="1" ht="12.75">
      <c r="A16" s="192" t="s">
        <v>246</v>
      </c>
      <c r="B16" s="25">
        <v>0.180665271407579</v>
      </c>
      <c r="C16" s="25">
        <v>0.27586053346395295</v>
      </c>
      <c r="D16" s="25">
        <v>0.180665271407579</v>
      </c>
      <c r="E16" s="25">
        <v>0.27586053346395295</v>
      </c>
      <c r="F16" s="231"/>
      <c r="G16" s="230"/>
    </row>
    <row r="17" spans="1:7" s="39" customFormat="1" ht="12.75">
      <c r="A17" s="192" t="s">
        <v>247</v>
      </c>
      <c r="B17" s="25">
        <v>0.0718172507458699</v>
      </c>
      <c r="C17" s="25">
        <v>0.09351204524201809</v>
      </c>
      <c r="D17" s="25">
        <v>0.0718172507458699</v>
      </c>
      <c r="E17" s="25">
        <v>0.09351204524201809</v>
      </c>
      <c r="F17" s="231"/>
      <c r="G17" s="230"/>
    </row>
    <row r="18" spans="1:7" s="39" customFormat="1" ht="12.75">
      <c r="A18" s="194" t="s">
        <v>248</v>
      </c>
      <c r="B18" s="195">
        <v>0.0765863650532128</v>
      </c>
      <c r="C18" s="195">
        <v>0.0765863650532128</v>
      </c>
      <c r="D18" s="195">
        <v>0.0765863650532128</v>
      </c>
      <c r="E18" s="195">
        <v>0.0765863650532128</v>
      </c>
      <c r="F18" s="231"/>
      <c r="G18" s="230"/>
    </row>
    <row r="19" s="197" customFormat="1" ht="12.75"/>
    <row r="20" spans="1:7" ht="12.75" customHeight="1">
      <c r="A20" s="196" t="s">
        <v>212</v>
      </c>
      <c r="B20" s="182">
        <v>9.084027252081757</v>
      </c>
      <c r="C20" s="182">
        <v>75.7002271006813</v>
      </c>
      <c r="D20" s="182">
        <v>0.378501135503407</v>
      </c>
      <c r="E20" s="182">
        <v>0.3785011355034065</v>
      </c>
      <c r="F20" s="232" t="s">
        <v>307</v>
      </c>
      <c r="G20" s="231" t="s">
        <v>357</v>
      </c>
    </row>
    <row r="21" spans="1:7" ht="12.75">
      <c r="A21" s="16" t="s">
        <v>213</v>
      </c>
      <c r="B21" s="44">
        <v>0.870552611657835</v>
      </c>
      <c r="C21" s="44">
        <v>0.870552611657835</v>
      </c>
      <c r="D21" s="44">
        <v>0.6813020439061317</v>
      </c>
      <c r="E21" s="44">
        <v>0.6813020439061317</v>
      </c>
      <c r="F21" s="232"/>
      <c r="G21" s="219"/>
    </row>
    <row r="22" spans="1:7" ht="12.75">
      <c r="A22" s="16" t="s">
        <v>214</v>
      </c>
      <c r="B22" s="44">
        <v>0.1514004542013626</v>
      </c>
      <c r="C22" s="44">
        <v>0.1514004542013626</v>
      </c>
      <c r="D22" s="44">
        <v>0</v>
      </c>
      <c r="E22" s="44">
        <v>0</v>
      </c>
      <c r="F22" s="232"/>
      <c r="G22" s="219"/>
    </row>
    <row r="23" spans="1:7" ht="12.75">
      <c r="A23" s="16" t="s">
        <v>215</v>
      </c>
      <c r="B23" s="44">
        <v>75.7002271006813</v>
      </c>
      <c r="C23" s="44">
        <v>189.25056775170327</v>
      </c>
      <c r="D23" s="44">
        <v>1.1355034065102196</v>
      </c>
      <c r="E23" s="44">
        <v>1.1355034065102196</v>
      </c>
      <c r="F23" s="232"/>
      <c r="G23" s="219"/>
    </row>
    <row r="24" spans="1:7" ht="12.75">
      <c r="A24" s="16" t="s">
        <v>216</v>
      </c>
      <c r="B24" s="44">
        <v>1.1355034065102196</v>
      </c>
      <c r="C24" s="44">
        <v>3.028009084027252</v>
      </c>
      <c r="D24" s="44">
        <v>0.9084027252081757</v>
      </c>
      <c r="E24" s="44">
        <v>2.4224072672218018</v>
      </c>
      <c r="F24" s="232"/>
      <c r="G24" s="219"/>
    </row>
    <row r="25" spans="1:7" ht="12.75">
      <c r="A25" s="16" t="s">
        <v>304</v>
      </c>
      <c r="B25" s="44">
        <v>0.1514004542013626</v>
      </c>
      <c r="C25" s="44">
        <v>0.1514004542013626</v>
      </c>
      <c r="D25" s="44">
        <v>0</v>
      </c>
      <c r="E25" s="44">
        <v>0</v>
      </c>
      <c r="F25" s="232"/>
      <c r="G25" s="219"/>
    </row>
    <row r="26" spans="1:7" ht="12.75">
      <c r="A26" s="16" t="s">
        <v>217</v>
      </c>
      <c r="B26" s="44">
        <v>1.1355034065102196</v>
      </c>
      <c r="C26" s="44">
        <v>2.2710068130204393</v>
      </c>
      <c r="D26" s="44">
        <v>1.1355034065102196</v>
      </c>
      <c r="E26" s="44">
        <v>1.8168054504163513</v>
      </c>
      <c r="F26" s="232"/>
      <c r="G26" s="219"/>
    </row>
    <row r="27" spans="1:7" ht="12.75">
      <c r="A27" s="163"/>
      <c r="B27" s="36"/>
      <c r="C27" s="36"/>
      <c r="D27" s="36"/>
      <c r="E27" s="36"/>
      <c r="F27" s="32"/>
      <c r="G27" s="32"/>
    </row>
    <row r="28" spans="1:7" ht="12.75">
      <c r="A28" s="178" t="s">
        <v>218</v>
      </c>
      <c r="B28" s="36">
        <v>0.010836</v>
      </c>
      <c r="C28" s="36">
        <v>32.04</v>
      </c>
      <c r="D28" s="36">
        <v>0.010836</v>
      </c>
      <c r="E28" s="36">
        <v>32.04</v>
      </c>
      <c r="F28" s="32"/>
      <c r="G28" s="32" t="s">
        <v>356</v>
      </c>
    </row>
    <row r="29" spans="1:7" ht="12.75">
      <c r="A29" s="193" t="s">
        <v>219</v>
      </c>
      <c r="B29" s="36">
        <v>0.09</v>
      </c>
      <c r="C29" s="36">
        <v>0.43200000000000005</v>
      </c>
      <c r="D29" s="36">
        <v>0.09</v>
      </c>
      <c r="E29" s="36">
        <v>0.43200000000000005</v>
      </c>
      <c r="F29" s="32"/>
      <c r="G29" s="32" t="s">
        <v>356</v>
      </c>
    </row>
    <row r="30" spans="1:7" ht="12.75">
      <c r="A30" s="161" t="s">
        <v>220</v>
      </c>
      <c r="B30" s="36">
        <v>0.252</v>
      </c>
      <c r="C30" s="36">
        <v>0.252</v>
      </c>
      <c r="D30" s="36">
        <v>0.252</v>
      </c>
      <c r="E30" s="36">
        <v>0.252</v>
      </c>
      <c r="F30" s="32"/>
      <c r="G30" s="32" t="s">
        <v>356</v>
      </c>
    </row>
    <row r="31" spans="1:5" ht="12.75">
      <c r="A31" s="1"/>
      <c r="B31" s="1"/>
      <c r="C31" s="1"/>
      <c r="D31" s="19"/>
      <c r="E31" s="19"/>
    </row>
    <row r="32" spans="1:5" ht="12.75">
      <c r="A32" s="75" t="s">
        <v>221</v>
      </c>
      <c r="B32" s="75"/>
      <c r="C32" s="75"/>
      <c r="D32" s="75"/>
      <c r="E32" s="75"/>
    </row>
    <row r="33" spans="1:6" ht="51">
      <c r="A33" s="45"/>
      <c r="B33" s="71" t="s">
        <v>42</v>
      </c>
      <c r="C33" s="70"/>
      <c r="D33" s="71" t="s">
        <v>43</v>
      </c>
      <c r="E33" s="70"/>
      <c r="F33" s="41" t="s">
        <v>406</v>
      </c>
    </row>
    <row r="34" spans="1:5" ht="12.75">
      <c r="A34" s="45"/>
      <c r="B34" s="73" t="s">
        <v>0</v>
      </c>
      <c r="C34" s="73" t="s">
        <v>1</v>
      </c>
      <c r="D34" s="73" t="s">
        <v>0</v>
      </c>
      <c r="E34" s="73" t="s">
        <v>1</v>
      </c>
    </row>
    <row r="35" spans="1:6" ht="12.75">
      <c r="A35" s="45" t="s">
        <v>212</v>
      </c>
      <c r="B35" s="79">
        <v>9.436863252081757</v>
      </c>
      <c r="C35" s="79">
        <v>108.4242271006813</v>
      </c>
      <c r="D35" s="79">
        <v>0.7313371355034065</v>
      </c>
      <c r="E35" s="79">
        <v>33.10250113550342</v>
      </c>
      <c r="F35" s="79">
        <f>AVERAGE(B35:C35)</f>
        <v>58.93054517638153</v>
      </c>
    </row>
    <row r="36" spans="1:6" ht="12.75">
      <c r="A36" s="45" t="s">
        <v>213</v>
      </c>
      <c r="B36" s="79">
        <v>1.223388611657835</v>
      </c>
      <c r="C36" s="79">
        <v>33.59455261165784</v>
      </c>
      <c r="D36" s="79">
        <v>1.0341380439061318</v>
      </c>
      <c r="E36" s="79">
        <v>33.40530204390614</v>
      </c>
      <c r="F36" s="79">
        <f aca="true" t="shared" si="0" ref="F36:F65">AVERAGE(B36:C36)</f>
        <v>17.408970611657836</v>
      </c>
    </row>
    <row r="37" spans="1:6" ht="12.75">
      <c r="A37" s="45" t="s">
        <v>214</v>
      </c>
      <c r="B37" s="79">
        <v>0.5042364542013626</v>
      </c>
      <c r="C37" s="79">
        <v>32.87540045420137</v>
      </c>
      <c r="D37" s="79">
        <v>0.35283600000000004</v>
      </c>
      <c r="E37" s="79">
        <v>32.72400000000001</v>
      </c>
      <c r="F37" s="79">
        <f t="shared" si="0"/>
        <v>16.689818454201365</v>
      </c>
    </row>
    <row r="38" spans="1:6" ht="12.75">
      <c r="A38" s="45" t="s">
        <v>215</v>
      </c>
      <c r="B38" s="79">
        <v>76.0530631006813</v>
      </c>
      <c r="C38" s="79">
        <v>221.97456775170326</v>
      </c>
      <c r="D38" s="79">
        <v>1.4883394065102196</v>
      </c>
      <c r="E38" s="79">
        <v>33.85950340651023</v>
      </c>
      <c r="F38" s="79">
        <f t="shared" si="0"/>
        <v>149.01381542619228</v>
      </c>
    </row>
    <row r="39" spans="1:6" ht="12.75">
      <c r="A39" s="45" t="s">
        <v>216</v>
      </c>
      <c r="B39" s="79">
        <v>1.4883394065102196</v>
      </c>
      <c r="C39" s="79">
        <v>35.75200908402726</v>
      </c>
      <c r="D39" s="79">
        <v>1.2612387252081756</v>
      </c>
      <c r="E39" s="79">
        <v>35.14640726722181</v>
      </c>
      <c r="F39" s="79">
        <f t="shared" si="0"/>
        <v>18.62017424526874</v>
      </c>
    </row>
    <row r="40" spans="1:6" ht="12.75">
      <c r="A40" s="45" t="s">
        <v>304</v>
      </c>
      <c r="B40" s="79">
        <v>0.5042364542013626</v>
      </c>
      <c r="C40" s="79">
        <v>32.87540045420137</v>
      </c>
      <c r="D40" s="79">
        <v>0.35283600000000004</v>
      </c>
      <c r="E40" s="79">
        <v>32.72400000000001</v>
      </c>
      <c r="F40" s="79">
        <f t="shared" si="0"/>
        <v>16.689818454201365</v>
      </c>
    </row>
    <row r="41" spans="1:6" ht="12.75">
      <c r="A41" s="45" t="s">
        <v>217</v>
      </c>
      <c r="B41" s="79">
        <v>1.4883394065102196</v>
      </c>
      <c r="C41" s="79">
        <v>34.99500681302045</v>
      </c>
      <c r="D41" s="79">
        <v>1.4883394065102196</v>
      </c>
      <c r="E41" s="79">
        <v>34.540805450416364</v>
      </c>
      <c r="F41" s="79">
        <f t="shared" si="0"/>
        <v>18.241673109765337</v>
      </c>
    </row>
    <row r="42" spans="1:6" ht="25.5">
      <c r="A42" s="45" t="s">
        <v>250</v>
      </c>
      <c r="B42" s="79">
        <f>B$7+B$11+B$15+B$20</f>
        <v>9.277597185732734</v>
      </c>
      <c r="C42" s="79">
        <f>C$7+C$11+C$15+C$20</f>
        <v>75.9779578750501</v>
      </c>
      <c r="D42" s="79">
        <f>D$7+D$11+D$15+D$20</f>
        <v>0.5720710691543844</v>
      </c>
      <c r="E42" s="79">
        <f>E$7+E$11+E$15+E$20</f>
        <v>0.6562319098721998</v>
      </c>
      <c r="F42" s="79">
        <f t="shared" si="0"/>
        <v>42.62777753039141</v>
      </c>
    </row>
    <row r="43" spans="1:6" ht="25.5">
      <c r="A43" s="45" t="s">
        <v>252</v>
      </c>
      <c r="B43" s="79">
        <f>B$7+B$11+B$15+B$21</f>
        <v>1.0641225453088126</v>
      </c>
      <c r="C43" s="79">
        <f>C$7+C$11+C$15+C$21</f>
        <v>1.1482833860266282</v>
      </c>
      <c r="D43" s="79">
        <f>D$7+D$11+D$15+D$21</f>
        <v>0.8748719775571091</v>
      </c>
      <c r="E43" s="79">
        <f>E$7+E$11+E$15+E$21</f>
        <v>0.9590328182749249</v>
      </c>
      <c r="F43" s="79">
        <f t="shared" si="0"/>
        <v>1.1062029656677204</v>
      </c>
    </row>
    <row r="44" spans="1:6" ht="25.5">
      <c r="A44" s="45" t="s">
        <v>253</v>
      </c>
      <c r="B44" s="79">
        <f>B$7+B$11+B$15+B$22</f>
        <v>0.34497038785234</v>
      </c>
      <c r="C44" s="79">
        <f>C$7+C$11+C$15+C$22</f>
        <v>0.42913122857015584</v>
      </c>
      <c r="D44" s="79">
        <f>D$7+D$11+D$15+D$22</f>
        <v>0.1935699336509774</v>
      </c>
      <c r="E44" s="79">
        <f>E$7+E$11+E$15+E$22</f>
        <v>0.27773077436879323</v>
      </c>
      <c r="F44" s="79">
        <f t="shared" si="0"/>
        <v>0.38705080821124793</v>
      </c>
    </row>
    <row r="45" spans="1:6" ht="12.75" customHeight="1">
      <c r="A45" s="45" t="s">
        <v>254</v>
      </c>
      <c r="B45" s="79">
        <f>B$7+B$11+B$15+B$23</f>
        <v>75.89379703433228</v>
      </c>
      <c r="C45" s="79">
        <f>C$7+C$11+C$15+C$23</f>
        <v>189.52829852607206</v>
      </c>
      <c r="D45" s="79">
        <f>D$7+D$11+D$15+D$23</f>
        <v>1.3290733401611972</v>
      </c>
      <c r="E45" s="79">
        <f>E$7+E$11+E$15+E$23</f>
        <v>1.4132341808790128</v>
      </c>
      <c r="F45" s="79">
        <f t="shared" si="0"/>
        <v>132.71104778020216</v>
      </c>
    </row>
    <row r="46" spans="1:6" ht="25.5">
      <c r="A46" s="45" t="s">
        <v>255</v>
      </c>
      <c r="B46" s="79">
        <f>B$7+B$11+B$15+B$24</f>
        <v>1.3290733401611972</v>
      </c>
      <c r="C46" s="79">
        <f>C$7+C$11+C$15+C$24</f>
        <v>3.3057398583960453</v>
      </c>
      <c r="D46" s="79">
        <f>D$7+D$11+D$15+D$24</f>
        <v>1.101972658859153</v>
      </c>
      <c r="E46" s="79">
        <f>E$7+E$11+E$15+E$24</f>
        <v>2.700138041590595</v>
      </c>
      <c r="F46" s="79">
        <f t="shared" si="0"/>
        <v>2.3174065992786215</v>
      </c>
    </row>
    <row r="47" spans="1:6" ht="25.5">
      <c r="A47" s="45" t="s">
        <v>256</v>
      </c>
      <c r="B47" s="79">
        <f>B$7+B$11+B$15+B$26</f>
        <v>1.3290733401611972</v>
      </c>
      <c r="C47" s="79">
        <f>C$7+C$11+C$15+C$26</f>
        <v>2.5487375873892324</v>
      </c>
      <c r="D47" s="79">
        <f>D$7+D$11+D$15+D$26</f>
        <v>1.3290733401611972</v>
      </c>
      <c r="E47" s="79">
        <f>E$7+E$11+E$15+E$26</f>
        <v>2.0945362247851445</v>
      </c>
      <c r="F47" s="79">
        <f t="shared" si="0"/>
        <v>1.9389054637752148</v>
      </c>
    </row>
    <row r="48" spans="1:6" ht="25.5">
      <c r="A48" s="45" t="s">
        <v>261</v>
      </c>
      <c r="B48" s="79">
        <f>B$8+B$12+B$16+B$20</f>
        <v>9.437502783096585</v>
      </c>
      <c r="C48" s="79">
        <f>C$8+C$12+C$16+C$20</f>
        <v>76.2238945540366</v>
      </c>
      <c r="D48" s="79">
        <f>D$8+D$12+D$16+D$20</f>
        <v>0.7319766665182358</v>
      </c>
      <c r="E48" s="79">
        <f>E$8+E$12+E$16+E$20</f>
        <v>0.9021685888587074</v>
      </c>
      <c r="F48" s="79">
        <f t="shared" si="0"/>
        <v>42.8306986685666</v>
      </c>
    </row>
    <row r="49" spans="1:6" ht="25.5">
      <c r="A49" s="45" t="s">
        <v>251</v>
      </c>
      <c r="B49" s="79">
        <f>B$8+B$12+B$16+B$21</f>
        <v>1.2240281426726638</v>
      </c>
      <c r="C49" s="79">
        <f>C$8+C$12+C$16+C$21</f>
        <v>1.394220065013136</v>
      </c>
      <c r="D49" s="79">
        <f>D$8+D$12+D$16+D$21</f>
        <v>1.0347775749209605</v>
      </c>
      <c r="E49" s="79">
        <f>E$8+E$12+E$16+E$21</f>
        <v>1.2049694972614327</v>
      </c>
      <c r="F49" s="79">
        <f t="shared" si="0"/>
        <v>1.3091241038428998</v>
      </c>
    </row>
    <row r="50" spans="1:6" ht="25.5">
      <c r="A50" s="45" t="s">
        <v>257</v>
      </c>
      <c r="B50" s="79">
        <f>B$8+B$12+B$16+B$22</f>
        <v>0.5048759852161914</v>
      </c>
      <c r="C50" s="79">
        <f>C$8+C$12+C$16+C$22</f>
        <v>0.6750679075566636</v>
      </c>
      <c r="D50" s="79">
        <f>D$8+D$12+D$16+D$22</f>
        <v>0.35347553101482876</v>
      </c>
      <c r="E50" s="79">
        <f>E$8+E$12+E$16+E$22</f>
        <v>0.523667453355301</v>
      </c>
      <c r="F50" s="79">
        <f t="shared" si="0"/>
        <v>0.5899719463864275</v>
      </c>
    </row>
    <row r="51" spans="1:6" ht="16.5" customHeight="1">
      <c r="A51" s="45" t="s">
        <v>258</v>
      </c>
      <c r="B51" s="79">
        <f>B$8+B$12+B$16+B$23</f>
        <v>76.05370263169613</v>
      </c>
      <c r="C51" s="79">
        <f>C$8+C$12+C$16+C$23</f>
        <v>189.77423520505857</v>
      </c>
      <c r="D51" s="79">
        <f>D$8+D$12+D$16+D$23</f>
        <v>1.4889789375250484</v>
      </c>
      <c r="E51" s="79">
        <f>E$8+E$12+E$16+E$23</f>
        <v>1.6591708598655206</v>
      </c>
      <c r="F51" s="79">
        <f t="shared" si="0"/>
        <v>132.91396891837735</v>
      </c>
    </row>
    <row r="52" spans="1:6" ht="25.5">
      <c r="A52" s="45" t="s">
        <v>259</v>
      </c>
      <c r="B52" s="79">
        <f>B$8+B$12+B$16+B$24</f>
        <v>1.4889789375250484</v>
      </c>
      <c r="C52" s="79">
        <f>C$8+C$12+C$16+C$24</f>
        <v>3.551676537382553</v>
      </c>
      <c r="D52" s="79">
        <f>D$8+D$12+D$16+D$24</f>
        <v>1.2618782562230044</v>
      </c>
      <c r="E52" s="79">
        <f>E$8+E$12+E$16+E$24</f>
        <v>2.9460747205771027</v>
      </c>
      <c r="F52" s="79">
        <f t="shared" si="0"/>
        <v>2.5203277374538007</v>
      </c>
    </row>
    <row r="53" spans="1:6" ht="25.5">
      <c r="A53" s="45" t="s">
        <v>260</v>
      </c>
      <c r="B53" s="79">
        <f>B$8+B$12+B$16+B$26</f>
        <v>1.4889789375250484</v>
      </c>
      <c r="C53" s="79">
        <f>C$8+C$12+C$16+C$26</f>
        <v>2.7946742663757402</v>
      </c>
      <c r="D53" s="79">
        <f>D$8+D$12+D$16+D$26</f>
        <v>1.4889789375250484</v>
      </c>
      <c r="E53" s="79">
        <f>E$8+E$12+E$16+E$26</f>
        <v>2.3404729037716523</v>
      </c>
      <c r="F53" s="79">
        <f t="shared" si="0"/>
        <v>2.1418266019503944</v>
      </c>
    </row>
    <row r="54" spans="1:6" ht="25.5">
      <c r="A54" s="45" t="s">
        <v>268</v>
      </c>
      <c r="B54" s="79">
        <f>B$9+B$13+B$17+B$20</f>
        <v>9.290501847976133</v>
      </c>
      <c r="C54" s="79">
        <f>C$9+C$13+C$17+C$20</f>
        <v>75.95270962283475</v>
      </c>
      <c r="D54" s="79">
        <f>D$9+D$13+D$17+D$20</f>
        <v>0.5849757313977826</v>
      </c>
      <c r="E54" s="79">
        <f>E$9+E$13+E$17+E$20</f>
        <v>0.6309836576568553</v>
      </c>
      <c r="F54" s="79">
        <f t="shared" si="0"/>
        <v>42.62160573540544</v>
      </c>
    </row>
    <row r="55" spans="1:6" ht="25.5">
      <c r="A55" s="45" t="s">
        <v>269</v>
      </c>
      <c r="B55" s="79">
        <f>B$9+B$13+B$17+B$21</f>
        <v>1.0770272075522105</v>
      </c>
      <c r="C55" s="79">
        <f>C$9+C$13+C$17+C$21</f>
        <v>1.1230351338112838</v>
      </c>
      <c r="D55" s="79">
        <f>D$9+D$13+D$17+D$21</f>
        <v>0.8877766398005071</v>
      </c>
      <c r="E55" s="79">
        <f>E$9+E$13+E$17+E$21</f>
        <v>0.9337845660595805</v>
      </c>
      <c r="F55" s="79">
        <f t="shared" si="0"/>
        <v>1.1000311706817472</v>
      </c>
    </row>
    <row r="56" spans="1:6" ht="25.5">
      <c r="A56" s="45" t="s">
        <v>270</v>
      </c>
      <c r="B56" s="79">
        <f>B$9+B$13+B$17+B$22</f>
        <v>0.3578750500957381</v>
      </c>
      <c r="C56" s="79">
        <f>C$9+C$13+C$17+C$22</f>
        <v>0.4038829763548114</v>
      </c>
      <c r="D56" s="79">
        <f>D$9+D$13+D$17+D$22</f>
        <v>0.2064745958943755</v>
      </c>
      <c r="E56" s="79">
        <f>E$9+E$13+E$17+E$22</f>
        <v>0.2524825221534488</v>
      </c>
      <c r="F56" s="79">
        <f t="shared" si="0"/>
        <v>0.38087901322527473</v>
      </c>
    </row>
    <row r="57" spans="1:6" ht="25.5">
      <c r="A57" s="45" t="s">
        <v>271</v>
      </c>
      <c r="B57" s="79">
        <f>B$9+B$13+B$17+B$23</f>
        <v>75.90670169657568</v>
      </c>
      <c r="C57" s="79">
        <f>C$9+C$13+C$17+C$23</f>
        <v>189.50305027385673</v>
      </c>
      <c r="D57" s="79">
        <f>D$9+D$13+D$17+D$23</f>
        <v>1.341978002404595</v>
      </c>
      <c r="E57" s="79">
        <f>E$9+E$13+E$17+E$23</f>
        <v>1.3879859286636684</v>
      </c>
      <c r="F57" s="79">
        <f t="shared" si="0"/>
        <v>132.7048759852162</v>
      </c>
    </row>
    <row r="58" spans="1:6" ht="25.5">
      <c r="A58" s="45" t="s">
        <v>272</v>
      </c>
      <c r="B58" s="79">
        <f>B$9+B$13+B$17+B$24</f>
        <v>1.341978002404595</v>
      </c>
      <c r="C58" s="79">
        <f>C$9+C$13+C$17+C$24</f>
        <v>3.280491606180701</v>
      </c>
      <c r="D58" s="79">
        <f>D$9+D$13+D$17+D$24</f>
        <v>1.114877321102551</v>
      </c>
      <c r="E58" s="79">
        <f>E$9+E$13+E$17+E$24</f>
        <v>2.674889789375251</v>
      </c>
      <c r="F58" s="79">
        <f t="shared" si="0"/>
        <v>2.311234804292648</v>
      </c>
    </row>
    <row r="59" spans="1:6" ht="25.5">
      <c r="A59" s="45" t="s">
        <v>273</v>
      </c>
      <c r="B59" s="79">
        <f>B$9+B$13+B$17+B$26</f>
        <v>1.341978002404595</v>
      </c>
      <c r="C59" s="79">
        <f>C$9+C$13+C$17+C$26</f>
        <v>2.5234893351738883</v>
      </c>
      <c r="D59" s="79">
        <f>D$9+D$13+D$17+D$26</f>
        <v>1.341978002404595</v>
      </c>
      <c r="E59" s="79">
        <f>E$9+E$13+E$17+E$26</f>
        <v>2.0692879725698</v>
      </c>
      <c r="F59" s="79">
        <f t="shared" si="0"/>
        <v>1.9327336687892416</v>
      </c>
    </row>
    <row r="60" spans="1:6" ht="25.5">
      <c r="A60" s="45" t="s">
        <v>262</v>
      </c>
      <c r="B60" s="79">
        <f>B$10+B$14+B$18+B$20</f>
        <v>9.280402547089995</v>
      </c>
      <c r="C60" s="79">
        <f>C$10+C$14+C$18+C$20</f>
        <v>75.89660239568954</v>
      </c>
      <c r="D60" s="79">
        <f>D$10+D$14+D$18+D$20</f>
        <v>0.5748764305116446</v>
      </c>
      <c r="E60" s="79">
        <f>E$10+E$14+E$18+E$20</f>
        <v>0.5748764305116442</v>
      </c>
      <c r="F60" s="79">
        <f t="shared" si="0"/>
        <v>42.588502471389766</v>
      </c>
    </row>
    <row r="61" spans="1:6" ht="25.5">
      <c r="A61" s="45" t="s">
        <v>263</v>
      </c>
      <c r="B61" s="79">
        <f>B$10+B$14+B$18+B$21</f>
        <v>1.0669279066660726</v>
      </c>
      <c r="C61" s="79">
        <f>C$10+C$14+C$18+C$21</f>
        <v>1.0669279066660726</v>
      </c>
      <c r="D61" s="79">
        <f>D$10+D$14+D$18+D$21</f>
        <v>0.8776773389143693</v>
      </c>
      <c r="E61" s="79">
        <f>E$10+E$14+E$18+E$21</f>
        <v>0.8776773389143693</v>
      </c>
      <c r="F61" s="79">
        <f t="shared" si="0"/>
        <v>1.0669279066660726</v>
      </c>
    </row>
    <row r="62" spans="1:6" ht="25.5">
      <c r="A62" s="45" t="s">
        <v>264</v>
      </c>
      <c r="B62" s="79">
        <f>B$10+B$14+B$18+B$22</f>
        <v>0.3477757492096002</v>
      </c>
      <c r="C62" s="79">
        <f>C$10+C$14+C$18+C$22</f>
        <v>0.3477757492096002</v>
      </c>
      <c r="D62" s="79">
        <f>D$10+D$14+D$18+D$22</f>
        <v>0.1963752950082376</v>
      </c>
      <c r="E62" s="79">
        <f>E$10+E$14+E$18+E$22</f>
        <v>0.1963752950082376</v>
      </c>
      <c r="F62" s="79">
        <f t="shared" si="0"/>
        <v>0.3477757492096002</v>
      </c>
    </row>
    <row r="63" spans="1:6" ht="25.5">
      <c r="A63" s="45" t="s">
        <v>265</v>
      </c>
      <c r="B63" s="79">
        <f>B$10+B$14+B$18+B$23</f>
        <v>75.89660239568954</v>
      </c>
      <c r="C63" s="79">
        <f>C$10+C$14+C$18+C$23</f>
        <v>189.4469430467115</v>
      </c>
      <c r="D63" s="79">
        <f>D$10+D$14+D$18+D$23</f>
        <v>1.3318787015184572</v>
      </c>
      <c r="E63" s="79">
        <f>E$10+E$14+E$18+E$23</f>
        <v>1.3318787015184572</v>
      </c>
      <c r="F63" s="79">
        <f t="shared" si="0"/>
        <v>132.6717727212005</v>
      </c>
    </row>
    <row r="64" spans="1:6" ht="25.5">
      <c r="A64" s="45" t="s">
        <v>266</v>
      </c>
      <c r="B64" s="79">
        <f>B$10+B$14+B$18+B$24</f>
        <v>1.3318787015184572</v>
      </c>
      <c r="C64" s="79">
        <f>C$10+C$14+C$18+C$24</f>
        <v>3.22438437903549</v>
      </c>
      <c r="D64" s="79">
        <f>D$10+D$14+D$18+D$24</f>
        <v>1.1047780202164132</v>
      </c>
      <c r="E64" s="79">
        <f>E$10+E$14+E$18+E$24</f>
        <v>2.6187825622300394</v>
      </c>
      <c r="F64" s="79">
        <f t="shared" si="0"/>
        <v>2.2781315402769735</v>
      </c>
    </row>
    <row r="65" spans="1:6" ht="25.5">
      <c r="A65" s="45" t="s">
        <v>267</v>
      </c>
      <c r="B65" s="79">
        <f>B$10+B$14+B$18+B$26</f>
        <v>1.3318787015184572</v>
      </c>
      <c r="C65" s="79">
        <f>C$10+C$14+C$18+C$26</f>
        <v>2.467382108028677</v>
      </c>
      <c r="D65" s="79">
        <f>D$10+D$14+D$18+D$26</f>
        <v>1.3318787015184572</v>
      </c>
      <c r="E65" s="79">
        <f>E$10+E$14+E$18+E$26</f>
        <v>2.013180745424589</v>
      </c>
      <c r="F65" s="79">
        <f t="shared" si="0"/>
        <v>1.899630404773567</v>
      </c>
    </row>
  </sheetData>
  <mergeCells count="5">
    <mergeCell ref="A4:A5"/>
    <mergeCell ref="G7:G18"/>
    <mergeCell ref="F7:F18"/>
    <mergeCell ref="G20:G26"/>
    <mergeCell ref="F20:F26"/>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K29"/>
  <sheetViews>
    <sheetView workbookViewId="0" topLeftCell="A1">
      <selection activeCell="F3" sqref="F3"/>
    </sheetView>
  </sheetViews>
  <sheetFormatPr defaultColWidth="9.140625" defaultRowHeight="12.75"/>
  <cols>
    <col min="1" max="1" width="30.8515625" style="41" customWidth="1"/>
    <col min="2" max="5" width="7.8515625" style="41" customWidth="1"/>
    <col min="6" max="6" width="31.7109375" style="41" customWidth="1"/>
    <col min="7" max="7" width="9.00390625" style="41" bestFit="1" customWidth="1"/>
    <col min="8" max="16384" width="9.140625" style="41" customWidth="1"/>
  </cols>
  <sheetData>
    <row r="1" ht="12.75">
      <c r="A1" s="4" t="s">
        <v>59</v>
      </c>
    </row>
    <row r="2" ht="12.75">
      <c r="A2" s="4" t="s">
        <v>55</v>
      </c>
    </row>
    <row r="4" spans="1:9" ht="12.75">
      <c r="A4" s="235" t="s">
        <v>61</v>
      </c>
      <c r="B4" s="188" t="s">
        <v>56</v>
      </c>
      <c r="C4" s="188"/>
      <c r="D4" s="188" t="s">
        <v>57</v>
      </c>
      <c r="E4" s="202"/>
      <c r="F4" s="68"/>
      <c r="G4" s="87"/>
      <c r="H4" s="87"/>
      <c r="I4" s="176"/>
    </row>
    <row r="5" spans="1:9" ht="12.75">
      <c r="A5" s="236"/>
      <c r="B5" s="188" t="s">
        <v>48</v>
      </c>
      <c r="C5" s="188"/>
      <c r="D5" s="188" t="s">
        <v>48</v>
      </c>
      <c r="E5" s="202"/>
      <c r="F5" s="72"/>
      <c r="G5" s="88"/>
      <c r="H5" s="88"/>
      <c r="I5" s="177"/>
    </row>
    <row r="6" spans="1:9" ht="12.75">
      <c r="A6" s="189" t="s">
        <v>2</v>
      </c>
      <c r="B6" s="189" t="s">
        <v>0</v>
      </c>
      <c r="C6" s="189" t="s">
        <v>1</v>
      </c>
      <c r="D6" s="189" t="s">
        <v>0</v>
      </c>
      <c r="E6" s="189" t="s">
        <v>1</v>
      </c>
      <c r="F6" s="198" t="s">
        <v>53</v>
      </c>
      <c r="G6" s="237" t="s">
        <v>88</v>
      </c>
      <c r="H6" s="237"/>
      <c r="I6" s="237"/>
    </row>
    <row r="7" spans="1:9" ht="38.25">
      <c r="A7" s="49" t="s">
        <v>323</v>
      </c>
      <c r="B7" s="36">
        <f>D7</f>
        <v>2.8</v>
      </c>
      <c r="C7" s="36">
        <f>E7</f>
        <v>2.87</v>
      </c>
      <c r="D7" s="36">
        <v>2.8</v>
      </c>
      <c r="E7" s="36">
        <v>2.87</v>
      </c>
      <c r="F7" s="20" t="s">
        <v>235</v>
      </c>
      <c r="G7" s="238" t="s">
        <v>372</v>
      </c>
      <c r="H7" s="238"/>
      <c r="I7" s="238"/>
    </row>
    <row r="8" spans="1:9" ht="12.75">
      <c r="A8" s="49" t="s">
        <v>324</v>
      </c>
      <c r="B8" s="37">
        <f aca="true" t="shared" si="0" ref="B8:B18">D8</f>
        <v>0</v>
      </c>
      <c r="C8" s="37">
        <f aca="true" t="shared" si="1" ref="C8:C18">E8</f>
        <v>0</v>
      </c>
      <c r="D8" s="37">
        <v>0</v>
      </c>
      <c r="E8" s="37">
        <v>0</v>
      </c>
      <c r="F8" s="32" t="s">
        <v>327</v>
      </c>
      <c r="G8" s="32" t="s">
        <v>371</v>
      </c>
      <c r="H8" s="32"/>
      <c r="I8" s="32"/>
    </row>
    <row r="9" spans="1:9" ht="12.75">
      <c r="A9" s="49" t="s">
        <v>325</v>
      </c>
      <c r="B9" s="36">
        <f t="shared" si="0"/>
        <v>2.4</v>
      </c>
      <c r="C9" s="36">
        <f t="shared" si="1"/>
        <v>2.8</v>
      </c>
      <c r="D9" s="36">
        <v>2.4</v>
      </c>
      <c r="E9" s="36">
        <v>2.8</v>
      </c>
      <c r="F9" s="20"/>
      <c r="G9" s="238" t="s">
        <v>373</v>
      </c>
      <c r="H9" s="238"/>
      <c r="I9" s="238"/>
    </row>
    <row r="10" spans="1:9" ht="12.75">
      <c r="A10" s="49" t="s">
        <v>64</v>
      </c>
      <c r="B10" s="37">
        <f t="shared" si="0"/>
        <v>0</v>
      </c>
      <c r="C10" s="37">
        <f t="shared" si="1"/>
        <v>0</v>
      </c>
      <c r="D10" s="37">
        <v>0</v>
      </c>
      <c r="E10" s="37">
        <v>0</v>
      </c>
      <c r="F10" s="32" t="s">
        <v>327</v>
      </c>
      <c r="G10" s="239" t="s">
        <v>374</v>
      </c>
      <c r="H10" s="240"/>
      <c r="I10" s="240"/>
    </row>
    <row r="11" spans="1:9" ht="12.75">
      <c r="A11" s="49" t="s">
        <v>234</v>
      </c>
      <c r="B11" s="37">
        <f t="shared" si="0"/>
        <v>0</v>
      </c>
      <c r="C11" s="37">
        <f t="shared" si="1"/>
        <v>0</v>
      </c>
      <c r="D11" s="37">
        <v>0</v>
      </c>
      <c r="E11" s="37">
        <v>0</v>
      </c>
      <c r="F11" s="32" t="s">
        <v>327</v>
      </c>
      <c r="G11" s="240"/>
      <c r="H11" s="240"/>
      <c r="I11" s="240"/>
    </row>
    <row r="12" spans="1:9" ht="12.75">
      <c r="A12" s="49" t="s">
        <v>62</v>
      </c>
      <c r="B12" s="37">
        <f t="shared" si="0"/>
        <v>0</v>
      </c>
      <c r="C12" s="37">
        <f t="shared" si="1"/>
        <v>0</v>
      </c>
      <c r="D12" s="37">
        <v>0</v>
      </c>
      <c r="E12" s="37">
        <v>0</v>
      </c>
      <c r="F12" s="32" t="s">
        <v>327</v>
      </c>
      <c r="G12" s="240"/>
      <c r="H12" s="240"/>
      <c r="I12" s="240"/>
    </row>
    <row r="13" spans="1:11" ht="53.25" customHeight="1">
      <c r="A13" s="31" t="s">
        <v>317</v>
      </c>
      <c r="B13" s="36">
        <f t="shared" si="0"/>
        <v>0.14</v>
      </c>
      <c r="C13" s="36">
        <f t="shared" si="1"/>
        <v>0.27</v>
      </c>
      <c r="D13" s="36">
        <v>0.14</v>
      </c>
      <c r="E13" s="36">
        <v>0.27</v>
      </c>
      <c r="F13" s="20" t="s">
        <v>379</v>
      </c>
      <c r="G13" s="238" t="s">
        <v>376</v>
      </c>
      <c r="H13" s="238"/>
      <c r="I13" s="238"/>
      <c r="J13" s="18"/>
      <c r="K13" s="18"/>
    </row>
    <row r="14" spans="1:9" ht="12.75">
      <c r="A14" s="31" t="s">
        <v>318</v>
      </c>
      <c r="B14" s="37">
        <f t="shared" si="0"/>
        <v>0</v>
      </c>
      <c r="C14" s="37">
        <f t="shared" si="1"/>
        <v>0</v>
      </c>
      <c r="D14" s="37">
        <v>0</v>
      </c>
      <c r="E14" s="37">
        <v>0</v>
      </c>
      <c r="F14" s="32"/>
      <c r="G14" s="180" t="s">
        <v>375</v>
      </c>
      <c r="H14" s="180"/>
      <c r="I14" s="180"/>
    </row>
    <row r="15" spans="1:9" ht="54.75" customHeight="1">
      <c r="A15" s="31" t="s">
        <v>319</v>
      </c>
      <c r="B15" s="115">
        <f t="shared" si="0"/>
        <v>0</v>
      </c>
      <c r="C15" s="116">
        <f>E15</f>
        <v>0.14</v>
      </c>
      <c r="D15" s="115">
        <v>0</v>
      </c>
      <c r="E15" s="116">
        <v>0.14</v>
      </c>
      <c r="F15" s="200" t="s">
        <v>328</v>
      </c>
      <c r="G15" s="201"/>
      <c r="H15" s="184"/>
      <c r="I15" s="186"/>
    </row>
    <row r="16" spans="1:10" ht="39.75" customHeight="1">
      <c r="A16" s="35" t="s">
        <v>320</v>
      </c>
      <c r="B16" s="37">
        <f t="shared" si="0"/>
        <v>0.00379</v>
      </c>
      <c r="C16" s="36">
        <f>E16</f>
        <v>0.114</v>
      </c>
      <c r="D16" s="37">
        <v>0.00379</v>
      </c>
      <c r="E16" s="36">
        <v>0.114</v>
      </c>
      <c r="F16" s="20" t="s">
        <v>326</v>
      </c>
      <c r="G16" s="233" t="s">
        <v>316</v>
      </c>
      <c r="H16" s="233"/>
      <c r="I16" s="233"/>
      <c r="J16" s="199"/>
    </row>
    <row r="17" spans="1:9" ht="42" customHeight="1">
      <c r="A17" s="35" t="s">
        <v>321</v>
      </c>
      <c r="B17" s="37">
        <f t="shared" si="0"/>
        <v>0</v>
      </c>
      <c r="C17" s="36">
        <f>E17</f>
        <v>0.114</v>
      </c>
      <c r="D17" s="115">
        <v>0</v>
      </c>
      <c r="E17" s="36">
        <v>0.114</v>
      </c>
      <c r="F17" s="20" t="s">
        <v>326</v>
      </c>
      <c r="G17" s="205" t="s">
        <v>315</v>
      </c>
      <c r="H17" s="206"/>
      <c r="I17" s="234"/>
    </row>
    <row r="18" spans="1:9" ht="12.75">
      <c r="A18" s="31" t="s">
        <v>322</v>
      </c>
      <c r="B18" s="37">
        <f t="shared" si="0"/>
        <v>0</v>
      </c>
      <c r="C18" s="37">
        <f t="shared" si="1"/>
        <v>0</v>
      </c>
      <c r="D18" s="37">
        <v>0</v>
      </c>
      <c r="E18" s="37">
        <v>0</v>
      </c>
      <c r="F18" s="32"/>
      <c r="G18" s="205" t="s">
        <v>314</v>
      </c>
      <c r="H18" s="206"/>
      <c r="I18" s="234"/>
    </row>
    <row r="20" spans="1:5" ht="39.75" customHeight="1">
      <c r="A20" s="151" t="s">
        <v>443</v>
      </c>
      <c r="B20" s="101"/>
      <c r="C20" s="101"/>
      <c r="D20" s="101"/>
      <c r="E20" s="102"/>
    </row>
    <row r="21" spans="2:5" ht="51">
      <c r="B21" s="69" t="s">
        <v>42</v>
      </c>
      <c r="C21" s="70"/>
      <c r="D21" s="71" t="s">
        <v>43</v>
      </c>
      <c r="E21" s="70"/>
    </row>
    <row r="22" spans="2:5" ht="12.75">
      <c r="B22" s="73" t="s">
        <v>0</v>
      </c>
      <c r="C22" s="73" t="s">
        <v>1</v>
      </c>
      <c r="D22" s="73" t="s">
        <v>0</v>
      </c>
      <c r="E22" s="73" t="s">
        <v>1</v>
      </c>
    </row>
    <row r="23" spans="1:5" ht="12.75">
      <c r="A23" s="74" t="s">
        <v>188</v>
      </c>
      <c r="B23" s="36">
        <v>2.94</v>
      </c>
      <c r="C23" s="36">
        <v>3.14</v>
      </c>
      <c r="D23" s="36">
        <f aca="true" t="shared" si="2" ref="D23:E28">B23</f>
        <v>2.94</v>
      </c>
      <c r="E23" s="36">
        <f t="shared" si="2"/>
        <v>3.14</v>
      </c>
    </row>
    <row r="24" spans="1:5" ht="12.75">
      <c r="A24" s="74" t="s">
        <v>189</v>
      </c>
      <c r="B24" s="37">
        <v>0</v>
      </c>
      <c r="C24" s="37">
        <v>0</v>
      </c>
      <c r="D24" s="37">
        <f t="shared" si="2"/>
        <v>0</v>
      </c>
      <c r="E24" s="37">
        <f t="shared" si="2"/>
        <v>0</v>
      </c>
    </row>
    <row r="25" spans="1:5" ht="12.75">
      <c r="A25" s="74" t="s">
        <v>65</v>
      </c>
      <c r="B25" s="44">
        <v>2.54</v>
      </c>
      <c r="C25" s="44">
        <v>2.8</v>
      </c>
      <c r="D25" s="44">
        <f t="shared" si="2"/>
        <v>2.54</v>
      </c>
      <c r="E25" s="44">
        <f t="shared" si="2"/>
        <v>2.8</v>
      </c>
    </row>
    <row r="26" spans="1:5" ht="12.75">
      <c r="A26" s="21" t="s">
        <v>64</v>
      </c>
      <c r="B26" s="15">
        <v>0.00379</v>
      </c>
      <c r="C26" s="44">
        <v>0.114</v>
      </c>
      <c r="D26" s="44">
        <f t="shared" si="2"/>
        <v>0.00379</v>
      </c>
      <c r="E26" s="44">
        <f t="shared" si="2"/>
        <v>0.114</v>
      </c>
    </row>
    <row r="27" spans="1:5" ht="12.75">
      <c r="A27" s="21" t="s">
        <v>63</v>
      </c>
      <c r="B27" s="44">
        <f>B17</f>
        <v>0</v>
      </c>
      <c r="C27" s="44">
        <f>C17</f>
        <v>0.114</v>
      </c>
      <c r="D27" s="44">
        <f t="shared" si="2"/>
        <v>0</v>
      </c>
      <c r="E27" s="44">
        <f>E17</f>
        <v>0.114</v>
      </c>
    </row>
    <row r="28" spans="1:5" ht="12.75">
      <c r="A28" s="32" t="s">
        <v>62</v>
      </c>
      <c r="B28" s="43">
        <v>0</v>
      </c>
      <c r="C28" s="37">
        <v>0</v>
      </c>
      <c r="D28" s="37">
        <f t="shared" si="2"/>
        <v>0</v>
      </c>
      <c r="E28" s="37">
        <f t="shared" si="2"/>
        <v>0</v>
      </c>
    </row>
    <row r="29" ht="12.75">
      <c r="B29" s="19"/>
    </row>
  </sheetData>
  <mergeCells count="9">
    <mergeCell ref="G16:I16"/>
    <mergeCell ref="G17:I17"/>
    <mergeCell ref="G18:I18"/>
    <mergeCell ref="A4:A5"/>
    <mergeCell ref="G6:I6"/>
    <mergeCell ref="G7:I7"/>
    <mergeCell ref="G9:I9"/>
    <mergeCell ref="G10:I12"/>
    <mergeCell ref="G13:I13"/>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blissfork</dc:creator>
  <cp:keywords/>
  <dc:description/>
  <cp:lastModifiedBy>Barry</cp:lastModifiedBy>
  <cp:lastPrinted>2007-02-21T19:06:22Z</cp:lastPrinted>
  <dcterms:created xsi:type="dcterms:W3CDTF">2007-01-21T00:26:41Z</dcterms:created>
  <dcterms:modified xsi:type="dcterms:W3CDTF">2010-09-24T17:35:02Z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